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4"/>
  </bookViews>
  <sheets>
    <sheet name="ALL Funds" sheetId="1" r:id="rId1"/>
    <sheet name="#01 GLR" sheetId="2" r:id="rId2"/>
    <sheet name="#10 OLED" sheetId="7" r:id="rId3"/>
    <sheet name="#20 CONF" sheetId="3" r:id="rId4"/>
    <sheet name="#30 RR" sheetId="4" r:id="rId5"/>
    <sheet name="#40 YMT" sheetId="5" r:id="rId6"/>
    <sheet name="#50 YEVT" sheetId="6" r:id="rId7"/>
  </sheets>
  <calcPr calcId="144525"/>
</workbook>
</file>

<file path=xl/comments1.xml><?xml version="1.0" encoding="utf-8"?>
<comments xmlns="http://schemas.openxmlformats.org/spreadsheetml/2006/main">
  <authors>
    <author>GLURCBookkeeper</author>
  </authors>
  <commentList>
    <comment ref="B36" authorId="0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Board F2F &amp; CONF, 
Admin,Bkkpr &amp; YMT @ CONF (No bkkpr if non-employee retained for that role)</t>
        </r>
      </text>
    </comment>
    <comment ref="G52" authorId="0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Payroll precessing and Zoom</t>
        </r>
      </text>
    </comment>
  </commentList>
</comments>
</file>

<file path=xl/comments2.xml><?xml version="1.0" encoding="utf-8"?>
<comments xmlns="http://schemas.openxmlformats.org/spreadsheetml/2006/main">
  <authors>
    <author>Carl Nawrot</author>
  </authors>
  <commentList>
    <comment ref="F39" authorId="0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Includes 2.5% increase for 6 months</t>
        </r>
      </text>
    </comment>
    <comment ref="G39" authorId="0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Increase approved by Board.</t>
        </r>
      </text>
    </comment>
  </commentList>
</comments>
</file>

<file path=xl/comments3.xml><?xml version="1.0" encoding="utf-8"?>
<comments xmlns="http://schemas.openxmlformats.org/spreadsheetml/2006/main">
  <authors>
    <author>tc={44B4424E-9286-4456-BEB5-4D4551ABF1F2}</author>
    <author>Carl Nawrot</author>
    <author>tc={4D25C472-F531-4524-B7E3-DF61AE99582D}</author>
    <author>tc={D39CDF60-86FD-4A3B-978C-5C9B26AFF938}</author>
  </authors>
  <commentList>
    <comment ref="G36" authorId="0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$385 for one on-site trainig,
$450 for another</t>
        </r>
      </text>
    </comment>
    <comment ref="F39" authorId="1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Includes 2.5% increase for 6 months</t>
        </r>
      </text>
    </comment>
    <comment ref="G40" authorId="1">
      <text>
        <r>
          <rPr>
            <b/>
            <sz val="9"/>
            <rFont val="Tahoma"/>
            <charset val="1"/>
          </rPr>
          <t>Carl Nawrot:</t>
        </r>
        <r>
          <rPr>
            <sz val="9"/>
            <rFont val="Tahoma"/>
            <charset val="1"/>
          </rPr>
          <t xml:space="preserve">
Per Board discussion 7/25/22, if a non-minister is hires (no manse)</t>
        </r>
      </text>
    </comment>
    <comment ref="G43" authorId="2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Consulant Conference $1300, GLURC $1230, Regional YOU event $450, Regional Uniteen $450, Internationl Network Children Pastors $200, Other events $300. $1,230 may be duplicated in YEVT.</t>
        </r>
      </text>
    </comment>
    <comment ref="G52" authorId="3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Survey Monkey $288 in April
Norton $80 in August
Constant Contact $23 per month</t>
        </r>
      </text>
    </comment>
  </commentList>
</comments>
</file>

<file path=xl/comments4.xml><?xml version="1.0" encoding="utf-8"?>
<comments xmlns="http://schemas.openxmlformats.org/spreadsheetml/2006/main">
  <authors>
    <author>tc={56CAEC1F-CC56-4688-8166-DA2BA9C5E486}</author>
    <author>tc={0ED2E4C6-10CD-45BC-9F53-31068521FC05}</author>
    <author>tc={B8F650A5-D3A3-4C13-BA12-DD3DCDBD6163}</author>
    <author>Carl Nawrot</author>
    <author>tc={4C177BDE-F02F-4BF8-8BE5-4B6A3CCAAA28}</author>
    <author>tc={5533ECD0-3194-426C-8B00-D147CB749AEC}</author>
  </authors>
  <commentList>
    <comment ref="G33" authorId="0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Facilities cost, Housing cost, and food,</t>
        </r>
      </text>
    </comment>
    <comment ref="G35" authorId="1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Misc and giveaways</t>
        </r>
      </text>
    </comment>
    <comment ref="G36" authorId="2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$2,570 event related plus 1$500 to bring two regional Y.O.U. officers together with event director for planning.</t>
        </r>
      </text>
    </comment>
    <comment ref="E40" authorId="3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Includes 2.5% increase for 6 months</t>
        </r>
      </text>
    </comment>
    <comment ref="F40" authorId="3">
      <text>
        <r>
          <rPr>
            <b/>
            <sz val="9"/>
            <rFont val="Tahoma"/>
            <charset val="134"/>
          </rPr>
          <t>Carl Nawrot:</t>
        </r>
        <r>
          <rPr>
            <sz val="9"/>
            <rFont val="Tahoma"/>
            <charset val="134"/>
          </rPr>
          <t xml:space="preserve">
Includes 2.5% increase for 6 months</t>
        </r>
      </text>
    </comment>
    <comment ref="G40" authorId="4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New hire PC Plus amount paid to chase per Board decision ($1,500 plus $9,600).</t>
        </r>
      </text>
    </comment>
    <comment ref="G43" authorId="5">
      <text>
        <r>
          <rPr>
            <sz val="10"/>
            <color indexed="8"/>
            <rFont val="MS Sans Serif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$1300 YFM Regioanl (consulant) Leadetship conference, $1230 GL conference, $500 other training</t>
        </r>
      </text>
    </comment>
  </commentList>
</comments>
</file>

<file path=xl/sharedStrings.xml><?xml version="1.0" encoding="utf-8"?>
<sst xmlns="http://schemas.openxmlformats.org/spreadsheetml/2006/main" count="813" uniqueCount="133">
  <si>
    <t>Great Lakes Unity Regional Conference, Inc.</t>
  </si>
  <si>
    <t>2023 Annual Budget Worksheet</t>
  </si>
  <si>
    <t>Summary of ALL Funds</t>
  </si>
  <si>
    <t>Fund &amp;</t>
  </si>
  <si>
    <t>Account</t>
  </si>
  <si>
    <t>Description</t>
  </si>
  <si>
    <t>Type</t>
  </si>
  <si>
    <t>Actual</t>
  </si>
  <si>
    <t>Budget</t>
  </si>
  <si>
    <t>ALL</t>
  </si>
  <si>
    <t>ALL FUNDS</t>
  </si>
  <si>
    <t>Income</t>
  </si>
  <si>
    <t>INCOME</t>
  </si>
  <si>
    <t>LOVE OFFERINGS</t>
  </si>
  <si>
    <t>LO Churches</t>
  </si>
  <si>
    <t>LO Individuals</t>
  </si>
  <si>
    <t>PROGRAMS &amp; MINISTRIES</t>
  </si>
  <si>
    <t>Attendee Registration</t>
  </si>
  <si>
    <t>Comped Registration</t>
  </si>
  <si>
    <t>Program Material Sales</t>
  </si>
  <si>
    <t>Vendor Registration</t>
  </si>
  <si>
    <t>OTHER INCOME</t>
  </si>
  <si>
    <t>Interest</t>
  </si>
  <si>
    <t>Grants Received</t>
  </si>
  <si>
    <t>Refund / Forfeiture Fee</t>
  </si>
  <si>
    <t>Income Totals:</t>
  </si>
  <si>
    <t>Expense</t>
  </si>
  <si>
    <t>5000</t>
  </si>
  <si>
    <t>EXPENSES</t>
  </si>
  <si>
    <t>5100</t>
  </si>
  <si>
    <t>TITHES</t>
  </si>
  <si>
    <t>5110</t>
  </si>
  <si>
    <t>Cash Tithes</t>
  </si>
  <si>
    <t>Grants &amp; Scholarships</t>
  </si>
  <si>
    <t>5200</t>
  </si>
  <si>
    <t>5210</t>
  </si>
  <si>
    <t>Facility Rental</t>
  </si>
  <si>
    <t>5220</t>
  </si>
  <si>
    <t>Contractor Fees &amp; Exps</t>
  </si>
  <si>
    <t>5230</t>
  </si>
  <si>
    <t>Materials, Print, Promo</t>
  </si>
  <si>
    <t>5290</t>
  </si>
  <si>
    <t>Travel &amp; Meals</t>
  </si>
  <si>
    <t>5600</t>
  </si>
  <si>
    <t>EMPLOYEES</t>
  </si>
  <si>
    <t>5610</t>
  </si>
  <si>
    <t>PAYROLL</t>
  </si>
  <si>
    <t>5620</t>
  </si>
  <si>
    <t>Manse</t>
  </si>
  <si>
    <t>5630</t>
  </si>
  <si>
    <t>Salary</t>
  </si>
  <si>
    <t>5640</t>
  </si>
  <si>
    <t>Employer FICA</t>
  </si>
  <si>
    <t>5660</t>
  </si>
  <si>
    <t>Workers Comp</t>
  </si>
  <si>
    <t>5680</t>
  </si>
  <si>
    <t>Training &amp; Networking</t>
  </si>
  <si>
    <t>UWM Activities</t>
  </si>
  <si>
    <t>5800</t>
  </si>
  <si>
    <t>ADMINISTRATION</t>
  </si>
  <si>
    <t>5810</t>
  </si>
  <si>
    <t>Accounting</t>
  </si>
  <si>
    <t>5820</t>
  </si>
  <si>
    <t>Bank &amp; Card Fees</t>
  </si>
  <si>
    <t>5830</t>
  </si>
  <si>
    <t>Branding &amp; Website</t>
  </si>
  <si>
    <t>5840</t>
  </si>
  <si>
    <t>Insurance (liability)</t>
  </si>
  <si>
    <t>5860</t>
  </si>
  <si>
    <t>Office Exps &amp; Supplies</t>
  </si>
  <si>
    <t>5870</t>
  </si>
  <si>
    <t>Postage &amp; Shipping</t>
  </si>
  <si>
    <t>5880</t>
  </si>
  <si>
    <t>Software &amp; Technology</t>
  </si>
  <si>
    <t>Expense Totals:</t>
  </si>
  <si>
    <t>Excess (Deficit)</t>
  </si>
  <si>
    <t>2023 Monthly Budget Allocation</t>
  </si>
  <si>
    <t>GLR General Fund #01</t>
  </si>
  <si>
    <t>Love offering dollars averaged from 2018-2020 actuals; all other income &amp; expenses based on 2022 projections.</t>
  </si>
  <si>
    <t>Monthly</t>
  </si>
  <si>
    <t>Allocation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</si>
  <si>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</si>
  <si>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</si>
  <si>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</si>
  <si>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</si>
  <si>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</si>
  <si>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</si>
  <si>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</si>
  <si>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</si>
  <si>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</si>
  <si>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</si>
  <si>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</si>
  <si>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</si>
  <si>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01</t>
  </si>
  <si>
    <t>GLR GENERAL FUND</t>
  </si>
  <si>
    <t>4000</t>
  </si>
  <si>
    <t>4100</t>
  </si>
  <si>
    <t>4110</t>
  </si>
  <si>
    <r>
      <rPr>
        <sz val="10"/>
        <color rgb="FFFF0000"/>
        <rFont val="MS Sans Serif"/>
        <charset val="134"/>
      </rPr>
      <t xml:space="preserve">varies </t>
    </r>
    <r>
      <rPr>
        <sz val="10"/>
        <color indexed="10"/>
        <rFont val="Calibri"/>
        <charset val="134"/>
      </rPr>
      <t>→</t>
    </r>
  </si>
  <si>
    <t>Review larger Goal</t>
  </si>
  <si>
    <t>4120</t>
  </si>
  <si>
    <t>4200</t>
  </si>
  <si>
    <t>4210</t>
  </si>
  <si>
    <t>4211</t>
  </si>
  <si>
    <t>4240</t>
  </si>
  <si>
    <t>4260</t>
  </si>
  <si>
    <t>4900</t>
  </si>
  <si>
    <t>4910</t>
  </si>
  <si>
    <t>equal</t>
  </si>
  <si>
    <t>4930</t>
  </si>
  <si>
    <t>No Bookkeeper</t>
  </si>
  <si>
    <t>Review Salary</t>
  </si>
  <si>
    <t>add 1,000 for website rejuvenation</t>
  </si>
  <si>
    <t>Online Education Fund #10</t>
  </si>
  <si>
    <t>ONLINE EDUCATION FUND</t>
  </si>
  <si>
    <t>On hold for 2023</t>
  </si>
  <si>
    <t>Conference Fund #20</t>
  </si>
  <si>
    <t>Cindy to review with Ray</t>
  </si>
  <si>
    <t>Love offering percentages based on 2017-2019 actuals; percentages of all other income &amp; expenses based on 2019 only.</t>
  </si>
  <si>
    <t>CONFERENCE FUND</t>
  </si>
  <si>
    <t>Regional Rep Fund #30</t>
  </si>
  <si>
    <t>No L/O Budget?????</t>
  </si>
  <si>
    <t>REGIONAL REP FUND</t>
  </si>
  <si>
    <t>Per Greg, 2023 budget is the same as 2022.</t>
  </si>
  <si>
    <t>Youth Ministry Training Fund #40</t>
  </si>
  <si>
    <t>Possibly merge with YEVT</t>
  </si>
  <si>
    <t>Love offering dollars averaged from 2018-2020 actuals; percentages of all other income &amp; expenses based on 2019 only.</t>
  </si>
  <si>
    <t>YOUTH MINISTRY TRAINING FUND</t>
  </si>
  <si>
    <t>.</t>
  </si>
  <si>
    <t>Youth Events Fund #50</t>
  </si>
  <si>
    <t>Possibly merge with YMT</t>
  </si>
  <si>
    <t>YOUTH EVENTS FUND</t>
  </si>
  <si>
    <t>Facility Rental (Incl. Food)</t>
  </si>
</sst>
</file>

<file path=xl/styles.xml><?xml version="1.0" encoding="utf-8"?>
<styleSheet xmlns="http://schemas.openxmlformats.org/spreadsheetml/2006/main">
  <numFmts count="5">
    <numFmt numFmtId="176" formatCode="_(* #,##0_);_(* \(#,##0\);_(* &quot;-&quot;??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43" formatCode="_(* #,##0.00_);_(* \(#,##0.00\);_(* &quot;-&quot;??_);_(@_)"/>
  </numFmts>
  <fonts count="38">
    <font>
      <sz val="10"/>
      <color indexed="8"/>
      <name val="MS Sans Serif"/>
      <charset val="134"/>
    </font>
    <font>
      <b/>
      <sz val="9.7"/>
      <color indexed="8"/>
      <name val="Arial"/>
      <charset val="134"/>
    </font>
    <font>
      <sz val="9.7"/>
      <color indexed="8"/>
      <name val="Arial"/>
      <charset val="134"/>
    </font>
    <font>
      <sz val="9.5"/>
      <color indexed="8"/>
      <name val="Arial"/>
      <charset val="134"/>
    </font>
    <font>
      <sz val="10"/>
      <color rgb="FFFF0000"/>
      <name val="MS Sans Serif"/>
      <charset val="134"/>
    </font>
    <font>
      <sz val="9.7"/>
      <color theme="0" tint="-0.149998474074526"/>
      <name val="Arial"/>
      <charset val="134"/>
    </font>
    <font>
      <b/>
      <sz val="9.5"/>
      <color indexed="8"/>
      <name val="Arial"/>
      <charset val="134"/>
    </font>
    <font>
      <b/>
      <sz val="10"/>
      <color indexed="8"/>
      <name val="Arial"/>
      <charset val="134"/>
    </font>
    <font>
      <sz val="9.7"/>
      <color rgb="FFFF0000"/>
      <name val="Arial"/>
      <charset val="134"/>
    </font>
    <font>
      <sz val="10"/>
      <color indexed="8"/>
      <name val="Arial"/>
      <charset val="134"/>
    </font>
    <font>
      <sz val="10"/>
      <color theme="0"/>
      <name val="MS Sans Serif"/>
      <charset val="134"/>
    </font>
    <font>
      <b/>
      <sz val="10"/>
      <color indexed="8"/>
      <name val="MS Sans Serif"/>
      <charset val="134"/>
    </font>
    <font>
      <sz val="10"/>
      <name val="MS Sans Serif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10"/>
      <name val="Calibri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Tahoma"/>
      <charset val="1"/>
    </font>
    <font>
      <sz val="9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176" fontId="3" fillId="2" borderId="0" xfId="2" applyNumberFormat="1" applyFont="1" applyFill="1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76" fontId="6" fillId="0" borderId="0" xfId="2" applyNumberFormat="1" applyFont="1"/>
    <xf numFmtId="176" fontId="3" fillId="2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176" fontId="3" fillId="0" borderId="0" xfId="2" applyNumberFormat="1" applyFont="1" applyFill="1" applyProtection="1">
      <protection locked="0"/>
    </xf>
    <xf numFmtId="176" fontId="3" fillId="0" borderId="0" xfId="2" applyNumberFormat="1" applyFont="1"/>
    <xf numFmtId="0" fontId="7" fillId="0" borderId="0" xfId="0" applyFont="1"/>
    <xf numFmtId="176" fontId="7" fillId="0" borderId="0" xfId="0" applyNumberFormat="1" applyFont="1"/>
    <xf numFmtId="0" fontId="8" fillId="0" borderId="0" xfId="0" applyFont="1" applyAlignment="1">
      <alignment horizontal="center" vertical="center"/>
    </xf>
    <xf numFmtId="1" fontId="3" fillId="0" borderId="0" xfId="0" applyNumberFormat="1" applyFont="1"/>
    <xf numFmtId="1" fontId="3" fillId="0" borderId="0" xfId="6" applyNumberFormat="1" applyFont="1" applyFill="1" applyProtection="1"/>
    <xf numFmtId="176" fontId="3" fillId="2" borderId="0" xfId="2" applyNumberFormat="1" applyFont="1" applyFill="1"/>
    <xf numFmtId="0" fontId="3" fillId="2" borderId="0" xfId="0" applyFont="1" applyFill="1" applyProtection="1">
      <protection locked="0"/>
    </xf>
    <xf numFmtId="37" fontId="3" fillId="2" borderId="0" xfId="0" applyNumberFormat="1" applyFont="1" applyFill="1" applyProtection="1">
      <protection locked="0"/>
    </xf>
    <xf numFmtId="9" fontId="3" fillId="0" borderId="0" xfId="0" applyNumberFormat="1" applyFont="1" applyProtection="1">
      <protection locked="0"/>
    </xf>
    <xf numFmtId="3" fontId="3" fillId="0" borderId="0" xfId="0" applyNumberFormat="1" applyFont="1"/>
    <xf numFmtId="37" fontId="3" fillId="2" borderId="0" xfId="6" applyNumberFormat="1" applyFont="1" applyFill="1"/>
    <xf numFmtId="0" fontId="0" fillId="0" borderId="0" xfId="0" applyFont="1"/>
    <xf numFmtId="176" fontId="9" fillId="0" borderId="0" xfId="0" applyNumberFormat="1" applyFont="1"/>
    <xf numFmtId="0" fontId="10" fillId="0" borderId="0" xfId="0" applyFont="1"/>
    <xf numFmtId="9" fontId="0" fillId="0" borderId="0" xfId="6" applyFont="1"/>
    <xf numFmtId="0" fontId="10" fillId="0" borderId="0" xfId="6" applyNumberFormat="1" applyFont="1"/>
    <xf numFmtId="9" fontId="0" fillId="0" borderId="0" xfId="0" applyNumberFormat="1"/>
    <xf numFmtId="9" fontId="3" fillId="2" borderId="0" xfId="6" applyFont="1" applyFill="1"/>
    <xf numFmtId="176" fontId="3" fillId="0" borderId="0" xfId="0" applyNumberFormat="1" applyFont="1"/>
    <xf numFmtId="0" fontId="3" fillId="2" borderId="0" xfId="0" applyFont="1" applyFill="1"/>
    <xf numFmtId="1" fontId="3" fillId="2" borderId="0" xfId="0" applyNumberFormat="1" applyFont="1" applyFill="1" applyProtection="1">
      <protection locked="0"/>
    </xf>
    <xf numFmtId="1" fontId="3" fillId="0" borderId="0" xfId="0" applyNumberFormat="1" applyFont="1" applyFill="1" applyProtection="1"/>
    <xf numFmtId="3" fontId="0" fillId="0" borderId="0" xfId="0" applyNumberFormat="1"/>
    <xf numFmtId="3" fontId="0" fillId="2" borderId="0" xfId="6" applyNumberFormat="1" applyFont="1" applyFill="1"/>
    <xf numFmtId="3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3" fontId="0" fillId="2" borderId="0" xfId="0" applyNumberFormat="1" applyFill="1"/>
    <xf numFmtId="9" fontId="0" fillId="0" borderId="0" xfId="6" applyFont="1" applyFill="1"/>
    <xf numFmtId="176" fontId="2" fillId="0" borderId="0" xfId="2" applyNumberFormat="1" applyFont="1" applyAlignment="1">
      <alignment horizontal="right" vertical="center"/>
    </xf>
    <xf numFmtId="0" fontId="6" fillId="0" borderId="0" xfId="0" applyFont="1"/>
    <xf numFmtId="49" fontId="2" fillId="0" borderId="0" xfId="0" applyNumberFormat="1" applyFont="1" applyAlignment="1">
      <alignment vertical="center"/>
    </xf>
    <xf numFmtId="0" fontId="11" fillId="0" borderId="0" xfId="0" applyFont="1"/>
    <xf numFmtId="0" fontId="0" fillId="2" borderId="0" xfId="0" applyFill="1" applyProtection="1">
      <protection locked="0"/>
    </xf>
    <xf numFmtId="9" fontId="0" fillId="2" borderId="0" xfId="0" applyNumberFormat="1" applyFill="1" applyProtection="1">
      <protection locked="0"/>
    </xf>
    <xf numFmtId="37" fontId="2" fillId="0" borderId="0" xfId="0" applyNumberFormat="1" applyFont="1" applyAlignment="1">
      <alignment horizontal="right" vertical="center"/>
    </xf>
    <xf numFmtId="37" fontId="3" fillId="0" borderId="0" xfId="0" applyNumberFormat="1" applyFont="1" applyProtection="1">
      <protection locked="0"/>
    </xf>
    <xf numFmtId="37" fontId="3" fillId="0" borderId="0" xfId="0" applyNumberFormat="1" applyFont="1"/>
    <xf numFmtId="0" fontId="2" fillId="0" borderId="0" xfId="0" applyFont="1" applyFill="1" applyAlignment="1">
      <alignment horizontal="right" vertical="center"/>
    </xf>
    <xf numFmtId="0" fontId="0" fillId="0" borderId="0" xfId="0" applyFill="1" applyProtection="1"/>
    <xf numFmtId="9" fontId="0" fillId="0" borderId="0" xfId="0" applyNumberFormat="1" applyFill="1" applyProtection="1"/>
    <xf numFmtId="0" fontId="0" fillId="0" borderId="0" xfId="0" applyFill="1"/>
    <xf numFmtId="9" fontId="0" fillId="2" borderId="0" xfId="6" applyFont="1" applyFill="1"/>
    <xf numFmtId="0" fontId="3" fillId="0" borderId="0" xfId="0" applyFont="1" applyFill="1" applyProtection="1">
      <protection locked="0"/>
    </xf>
    <xf numFmtId="0" fontId="4" fillId="0" borderId="0" xfId="0" applyFont="1" applyFill="1" applyAlignment="1">
      <alignment horizontal="center"/>
    </xf>
    <xf numFmtId="37" fontId="6" fillId="0" borderId="0" xfId="0" applyNumberFormat="1" applyFont="1"/>
    <xf numFmtId="0" fontId="0" fillId="0" borderId="0" xfId="0" applyFill="1" applyProtection="1">
      <protection locked="0"/>
    </xf>
    <xf numFmtId="9" fontId="0" fillId="0" borderId="0" xfId="0" applyNumberFormat="1" applyFill="1" applyProtection="1">
      <protection locked="0"/>
    </xf>
    <xf numFmtId="0" fontId="3" fillId="0" borderId="0" xfId="0" applyFont="1" applyFill="1"/>
    <xf numFmtId="3" fontId="3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center"/>
    </xf>
    <xf numFmtId="1" fontId="3" fillId="2" borderId="0" xfId="0" applyNumberFormat="1" applyFont="1" applyFill="1" applyProtection="1"/>
    <xf numFmtId="1" fontId="3" fillId="2" borderId="0" xfId="6" applyNumberFormat="1" applyFont="1" applyFill="1" applyProtection="1"/>
    <xf numFmtId="9" fontId="0" fillId="2" borderId="0" xfId="6" applyNumberFormat="1" applyFont="1" applyFill="1"/>
    <xf numFmtId="1" fontId="12" fillId="0" borderId="0" xfId="0" applyNumberFormat="1" applyFont="1" applyProtection="1"/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0" xfId="2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pane ySplit="7" topLeftCell="A8" activePane="bottomLeft" state="frozen"/>
      <selection/>
      <selection pane="bottomLeft" activeCell="G12" sqref="G12"/>
    </sheetView>
  </sheetViews>
  <sheetFormatPr defaultColWidth="11.3611111111111" defaultRowHeight="12.6" outlineLevelCol="7"/>
  <cols>
    <col min="1" max="1" width="7.81481481481481" customWidth="1"/>
    <col min="2" max="2" width="25" customWidth="1"/>
    <col min="3" max="6" width="11.3611111111111" customWidth="1"/>
    <col min="7" max="7" width="11.3611111111111" style="9" customWidth="1"/>
    <col min="8" max="8" width="11.3611111111111" style="1" customWidth="1"/>
  </cols>
  <sheetData>
    <row r="1" spans="4:4">
      <c r="D1" s="2" t="s">
        <v>0</v>
      </c>
    </row>
    <row r="2" spans="1:8">
      <c r="A2" s="3"/>
      <c r="D2" s="2" t="s">
        <v>1</v>
      </c>
      <c r="G2" s="76"/>
      <c r="H2" s="77"/>
    </row>
    <row r="3" spans="1:8">
      <c r="A3" s="3"/>
      <c r="D3" s="2" t="s">
        <v>2</v>
      </c>
      <c r="G3" s="76"/>
      <c r="H3" s="77"/>
    </row>
    <row r="5" spans="4:7">
      <c r="D5" s="5"/>
      <c r="E5" s="5"/>
      <c r="F5" s="5"/>
      <c r="G5" s="78"/>
    </row>
    <row r="6" spans="1:8">
      <c r="A6" s="4" t="s">
        <v>3</v>
      </c>
      <c r="D6" s="5">
        <v>2021</v>
      </c>
      <c r="E6" s="5"/>
      <c r="F6" s="5">
        <v>2022</v>
      </c>
      <c r="G6" s="78">
        <v>2023</v>
      </c>
      <c r="H6" s="5"/>
    </row>
    <row r="7" spans="1:8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78" t="s">
        <v>8</v>
      </c>
      <c r="H7" s="5"/>
    </row>
    <row r="8" spans="1:3">
      <c r="A8" s="2" t="s">
        <v>9</v>
      </c>
      <c r="B8" s="6" t="s">
        <v>10</v>
      </c>
      <c r="C8" s="6" t="s">
        <v>11</v>
      </c>
    </row>
    <row r="10" spans="1:7">
      <c r="A10" s="3"/>
      <c r="B10" s="3" t="s">
        <v>12</v>
      </c>
      <c r="D10" s="7"/>
      <c r="E10" s="7"/>
      <c r="F10" s="8"/>
      <c r="G10" s="20"/>
    </row>
    <row r="11" spans="1:7">
      <c r="A11" s="3"/>
      <c r="B11" s="3" t="s">
        <v>13</v>
      </c>
      <c r="D11" s="7"/>
      <c r="E11" s="7"/>
      <c r="F11" s="8"/>
      <c r="G11" s="20"/>
    </row>
    <row r="12" spans="1:7">
      <c r="A12" s="3"/>
      <c r="B12" s="3" t="s">
        <v>14</v>
      </c>
      <c r="D12" s="7">
        <f>'#01 GLR'!D12+'#10 OLED'!D12+'#20 CONF'!D12+'#30 RR'!D12+'#40 YMT'!D12+'#50 YEVT'!D12</f>
        <v>108504</v>
      </c>
      <c r="E12" s="7">
        <f>'#01 GLR'!E12+'#10 OLED'!E12+'#20 CONF'!E12+'#30 RR'!E12+'#40 YMT'!E12+'#50 YEVT'!E12</f>
        <v>128050</v>
      </c>
      <c r="F12" s="7">
        <f>'#01 GLR'!F12+'#10 OLED'!F12+'#20 CONF'!F12+'#30 RR'!F12+'#40 YMT'!F12+'#50 YEVT'!F12</f>
        <v>119122</v>
      </c>
      <c r="G12" s="79">
        <f>('#01 GLR'!G12)+('#10 OLED'!G12)+('#20 CONF'!G12)+('#30 RR'!G12)+('#40 YMT'!G12)+('#50 YEVT'!G12)</f>
        <v>106625</v>
      </c>
    </row>
    <row r="13" spans="1:7">
      <c r="A13" s="3"/>
      <c r="B13" s="3" t="s">
        <v>15</v>
      </c>
      <c r="D13" s="7">
        <f>'#01 GLR'!D13+'#10 OLED'!D13+'#20 CONF'!D13+'#30 RR'!D13+'#40 YMT'!D13+'#50 YEVT'!D13</f>
        <v>6873</v>
      </c>
      <c r="E13" s="7">
        <f>'#01 GLR'!E13+'#10 OLED'!E13+'#20 CONF'!E13+'#30 RR'!E13+'#40 YMT'!E13+'#50 YEVT'!E13</f>
        <v>10500</v>
      </c>
      <c r="F13" s="7">
        <f>'#01 GLR'!F13+'#10 OLED'!F13+'#20 CONF'!F13+'#30 RR'!F13+'#40 YMT'!F13+'#50 YEVT'!F13</f>
        <v>11243</v>
      </c>
      <c r="G13" s="79">
        <f>('#01 GLR'!G13)+('#10 OLED'!G13)+('#20 CONF'!G13)+('#30 RR'!G13)+('#40 YMT'!G13)+('#50 YEVT'!G13)</f>
        <v>9500</v>
      </c>
    </row>
    <row r="14" spans="1:7">
      <c r="A14" s="3"/>
      <c r="B14" s="3" t="s">
        <v>16</v>
      </c>
      <c r="D14" s="7"/>
      <c r="E14" s="7"/>
      <c r="F14" s="8"/>
      <c r="G14" s="79"/>
    </row>
    <row r="15" spans="1:7">
      <c r="A15" s="3"/>
      <c r="B15" s="3" t="s">
        <v>17</v>
      </c>
      <c r="D15" s="7">
        <f>'#01 GLR'!D15+'#10 OLED'!D15+'#20 CONF'!D15+'#30 RR'!D15+'#40 YMT'!D15+'#50 YEVT'!D15</f>
        <v>11455</v>
      </c>
      <c r="E15" s="7">
        <f>'#01 GLR'!E15+'#10 OLED'!E15+'#20 CONF'!E15+'#30 RR'!E15+'#40 YMT'!E15+'#50 YEVT'!E15</f>
        <v>88310</v>
      </c>
      <c r="F15" s="7">
        <f>'#01 GLR'!F15+'#10 OLED'!F15+'#20 CONF'!F15+'#30 RR'!F15+'#40 YMT'!F15+'#50 YEVT'!F15</f>
        <v>75060</v>
      </c>
      <c r="G15" s="79">
        <f>('#01 GLR'!G15)+('#10 OLED'!G15)+('#20 CONF'!G15)+('#30 RR'!G15)+('#40 YMT'!G15)+('#50 YEVT'!G15)</f>
        <v>72713</v>
      </c>
    </row>
    <row r="16" spans="1:7">
      <c r="A16" s="3"/>
      <c r="B16" s="3" t="s">
        <v>18</v>
      </c>
      <c r="D16" s="7">
        <f>'#01 GLR'!D16+'#10 OLED'!D16+'#20 CONF'!D16+'#30 RR'!D16+'#40 YMT'!D16+'#50 YEVT'!D16</f>
        <v>0</v>
      </c>
      <c r="E16" s="56">
        <f>'#01 GLR'!E16+'#10 OLED'!E16+'#20 CONF'!E16+'#30 RR'!E16+'#40 YMT'!E16+'#50 YEVT'!E16</f>
        <v>-3000</v>
      </c>
      <c r="F16" s="56">
        <f>'#01 GLR'!F16+'#10 OLED'!F16+'#20 CONF'!F16+'#30 RR'!F16+'#40 YMT'!F16+'#50 YEVT'!F16</f>
        <v>-3000</v>
      </c>
      <c r="G16" s="79">
        <f>('#01 GLR'!G16)+('#10 OLED'!G16)+('#20 CONF'!G16)+('#30 RR'!G16)+('#40 YMT'!G16)+('#50 YEVT'!G16)</f>
        <v>-4000</v>
      </c>
    </row>
    <row r="17" spans="1:7">
      <c r="A17" s="3"/>
      <c r="B17" s="3" t="s">
        <v>19</v>
      </c>
      <c r="D17" s="7">
        <f>'#01 GLR'!D17+'#10 OLED'!D17+'#20 CONF'!D17+'#30 RR'!D17+'#40 YMT'!D17+'#50 YEVT'!D17</f>
        <v>0</v>
      </c>
      <c r="E17" s="7">
        <f>'#01 GLR'!E17+'#10 OLED'!E17+'#20 CONF'!E17+'#30 RR'!E17+'#40 YMT'!E17+'#50 YEVT'!E17</f>
        <v>0</v>
      </c>
      <c r="F17" s="7">
        <f>'#01 GLR'!F17+'#10 OLED'!F17+'#20 CONF'!F17+'#30 RR'!F17+'#40 YMT'!F17+'#50 YEVT'!F17</f>
        <v>0</v>
      </c>
      <c r="G17" s="20">
        <f>('#01 GLR'!G17)+('#10 OLED'!G17)+('#20 CONF'!G17)+('#30 RR'!G17)+('#40 YMT'!G17)+('#50 YEVT'!G17)</f>
        <v>0</v>
      </c>
    </row>
    <row r="18" spans="1:7">
      <c r="A18" s="3"/>
      <c r="B18" s="3" t="s">
        <v>20</v>
      </c>
      <c r="D18" s="7">
        <f>'#01 GLR'!D18+'#10 OLED'!D18+'#20 CONF'!D18+'#30 RR'!D18+'#40 YMT'!D18+'#50 YEVT'!D18</f>
        <v>0</v>
      </c>
      <c r="E18" s="7">
        <f>'#01 GLR'!E18+'#10 OLED'!E18+'#20 CONF'!E18+'#30 RR'!E18+'#40 YMT'!E18+'#50 YEVT'!E18</f>
        <v>120</v>
      </c>
      <c r="F18" s="7">
        <f>'#01 GLR'!F18+'#10 OLED'!F18+'#20 CONF'!F18+'#30 RR'!F18+'#40 YMT'!F18+'#50 YEVT'!F18</f>
        <v>0</v>
      </c>
      <c r="G18" s="20">
        <f>('#01 GLR'!G18)+('#10 OLED'!G18)+('#20 CONF'!G18)+('#30 RR'!G18)+('#40 YMT'!G18)+('#50 YEVT'!G18)</f>
        <v>0</v>
      </c>
    </row>
    <row r="19" spans="1:7">
      <c r="A19" s="3"/>
      <c r="B19" s="3" t="s">
        <v>21</v>
      </c>
      <c r="D19" s="7"/>
      <c r="E19" s="7"/>
      <c r="F19" s="7"/>
      <c r="G19" s="20"/>
    </row>
    <row r="20" spans="1:7">
      <c r="A20" s="3"/>
      <c r="B20" s="3" t="s">
        <v>22</v>
      </c>
      <c r="D20" s="7">
        <f>'#01 GLR'!D20+'#10 OLED'!D20+'#20 CONF'!D20+'#30 RR'!D20+'#40 YMT'!D20+'#50 YEVT'!D20</f>
        <v>6</v>
      </c>
      <c r="E20" s="7">
        <f>'#01 GLR'!E20+'#10 OLED'!E20+'#20 CONF'!E20+'#30 RR'!E20+'#40 YMT'!E20+'#50 YEVT'!E20</f>
        <v>0</v>
      </c>
      <c r="F20" s="7">
        <f>'#01 GLR'!F20+'#10 OLED'!F20+'#20 CONF'!F20+'#30 RR'!F20+'#40 YMT'!F20+'#50 YEVT'!F20</f>
        <v>0</v>
      </c>
      <c r="G20" s="20">
        <f>('#01 GLR'!G20)+('#10 OLED'!G20)+('#20 CONF'!G20)+('#30 RR'!G20)+('#40 YMT'!G20)+('#50 YEVT'!G20)</f>
        <v>0</v>
      </c>
    </row>
    <row r="21" spans="1:7">
      <c r="A21" s="3"/>
      <c r="B21" s="3" t="s">
        <v>23</v>
      </c>
      <c r="D21" s="7">
        <f>'#01 GLR'!D21+'#10 OLED'!D21+'#20 CONF'!D21+'#30 RR'!D21+'#40 YMT'!D21+'#50 YEVT'!D21</f>
        <v>7110</v>
      </c>
      <c r="E21" s="7">
        <f>'#01 GLR'!E21+'#10 OLED'!E21+'#20 CONF'!E21+'#30 RR'!E21+'#40 YMT'!E21+'#50 YEVT'!E21</f>
        <v>0</v>
      </c>
      <c r="F21" s="7">
        <f>'#01 GLR'!F21+'#10 OLED'!F21+'#20 CONF'!F21+'#30 RR'!F21+'#40 YMT'!F21+'#50 YEVT'!F21</f>
        <v>0</v>
      </c>
      <c r="G21" s="20">
        <f>('#01 GLR'!G21)+('#10 OLED'!G21)+('#20 CONF'!G21)+('#30 RR'!G21)+('#40 YMT'!G21)+('#50 YEVT'!G21)</f>
        <v>0</v>
      </c>
    </row>
    <row r="22" spans="1:7">
      <c r="A22" s="52"/>
      <c r="B22" s="3" t="s">
        <v>24</v>
      </c>
      <c r="D22" s="7">
        <f>'#01 GLR'!D22+'#10 OLED'!D22+'#20 CONF'!D22+'#30 RR'!D22+'#40 YMT'!D22+'#50 YEVT'!D22</f>
        <v>0</v>
      </c>
      <c r="E22" s="7">
        <f>'#01 GLR'!E22+'#10 OLED'!E22+'#20 CONF'!E22+'#30 RR'!E22+'#40 YMT'!E22+'#50 YEVT'!E22</f>
        <v>0</v>
      </c>
      <c r="F22" s="7">
        <f>'#01 GLR'!F22+'#10 OLED'!F22+'#20 CONF'!F22+'#30 RR'!F22+'#40 YMT'!F22+'#50 YEVT'!F22</f>
        <v>0</v>
      </c>
      <c r="G22" s="20">
        <f>('#01 GLR'!G22)+('#10 OLED'!G22)+('#20 CONF'!G22)+('#30 RR'!G22)+('#40 YMT'!G22)+('#50 YEVT'!G22)</f>
        <v>0</v>
      </c>
    </row>
    <row r="23" spans="1:7">
      <c r="A23" s="3"/>
      <c r="B23" s="3"/>
      <c r="D23" s="7"/>
      <c r="E23" s="7"/>
      <c r="F23" s="8"/>
      <c r="G23" s="20"/>
    </row>
    <row r="24" spans="3:7">
      <c r="C24" s="14" t="s">
        <v>25</v>
      </c>
      <c r="D24" s="16">
        <f>SUM(D10:D23)</f>
        <v>133948</v>
      </c>
      <c r="E24" s="16">
        <f>SUM(E10:E23)</f>
        <v>223980</v>
      </c>
      <c r="F24" s="16">
        <f>SUM(F10:F23)</f>
        <v>202425</v>
      </c>
      <c r="G24" s="16">
        <f>SUM(G10:G23)</f>
        <v>184838</v>
      </c>
    </row>
    <row r="25" spans="7:7">
      <c r="G25" s="20"/>
    </row>
    <row r="26" spans="1:7">
      <c r="A26" s="2" t="s">
        <v>9</v>
      </c>
      <c r="B26" s="6" t="s">
        <v>10</v>
      </c>
      <c r="C26" s="6" t="s">
        <v>26</v>
      </c>
      <c r="G26" s="20"/>
    </row>
    <row r="27" spans="7:7">
      <c r="G27" s="20"/>
    </row>
    <row r="28" spans="1:7">
      <c r="A28" s="3" t="s">
        <v>27</v>
      </c>
      <c r="B28" s="3" t="s">
        <v>28</v>
      </c>
      <c r="D28" s="7"/>
      <c r="E28" s="7"/>
      <c r="F28" s="8"/>
      <c r="G28" s="20"/>
    </row>
    <row r="29" spans="1:7">
      <c r="A29" s="3" t="s">
        <v>29</v>
      </c>
      <c r="B29" s="3" t="s">
        <v>30</v>
      </c>
      <c r="D29" s="7"/>
      <c r="E29" s="7"/>
      <c r="F29" s="8"/>
      <c r="G29" s="20"/>
    </row>
    <row r="30" spans="1:7">
      <c r="A30" s="3" t="s">
        <v>31</v>
      </c>
      <c r="B30" s="3" t="s">
        <v>32</v>
      </c>
      <c r="D30" s="7">
        <f>'#01 GLR'!D30+'#10 OLED'!D30+'#20 CONF'!D30+'#30 RR'!D30+'#40 YMT'!D30+'#50 YEVT'!D30</f>
        <v>10052</v>
      </c>
      <c r="E30" s="7">
        <f>'#01 GLR'!E30+'#10 OLED'!E30+'#20 CONF'!E30+'#30 RR'!E30+'#40 YMT'!E30+'#50 YEVT'!E30</f>
        <v>12190</v>
      </c>
      <c r="F30" s="7">
        <f>'#01 GLR'!F30+'#10 OLED'!F30+'#20 CONF'!F30+'#30 RR'!F30+'#40 YMT'!F30+'#50 YEVT'!F30</f>
        <v>12181</v>
      </c>
      <c r="G30" s="20">
        <f>('#01 GLR'!G30)+('#10 OLED'!G30)+('#20 CONF'!G30)+('#30 RR'!G30)+('#40 YMT'!G30)+('#50 YEVT'!G30)</f>
        <v>10731.25</v>
      </c>
    </row>
    <row r="31" spans="1:7">
      <c r="A31" s="52">
        <v>5115</v>
      </c>
      <c r="B31" s="3" t="s">
        <v>33</v>
      </c>
      <c r="D31" s="7">
        <f>'#01 GLR'!D31+'#10 OLED'!D31+'#20 CONF'!D31+'#30 RR'!D31+'#40 YMT'!D31+'#50 YEVT'!D31</f>
        <v>1426</v>
      </c>
      <c r="E31" s="7">
        <f>'#01 GLR'!E31+'#10 OLED'!E31+'#20 CONF'!E31+'#30 RR'!E31+'#40 YMT'!E31+'#50 YEVT'!E31</f>
        <v>1310</v>
      </c>
      <c r="F31" s="7">
        <f>'#01 GLR'!F31+'#10 OLED'!F31+'#20 CONF'!F31+'#30 RR'!F31+'#40 YMT'!F31+'#50 YEVT'!F31</f>
        <v>1304</v>
      </c>
      <c r="G31" s="20">
        <f>('#01 GLR'!G31)+('#10 OLED'!G31)+('#20 CONF'!G31)+('#30 RR'!G31)+('#40 YMT'!G31)+('#50 YEVT'!G31)</f>
        <v>1161.25</v>
      </c>
    </row>
    <row r="32" spans="1:7">
      <c r="A32" s="3" t="s">
        <v>34</v>
      </c>
      <c r="B32" s="3" t="s">
        <v>16</v>
      </c>
      <c r="D32" s="7"/>
      <c r="E32" s="7"/>
      <c r="F32" s="8"/>
      <c r="G32" s="20"/>
    </row>
    <row r="33" spans="1:7">
      <c r="A33" s="3" t="s">
        <v>35</v>
      </c>
      <c r="B33" s="3" t="s">
        <v>36</v>
      </c>
      <c r="D33" s="7">
        <f>'#01 GLR'!D33+'#10 OLED'!D33+'#20 CONF'!D33+'#30 RR'!D33+'#40 YMT'!D33+'#50 YEVT'!D33</f>
        <v>10738</v>
      </c>
      <c r="E33" s="7">
        <f>'#01 GLR'!E33+'#10 OLED'!E33+'#20 CONF'!E33+'#30 RR'!E33+'#40 YMT'!E33+'#50 YEVT'!E33</f>
        <v>58523</v>
      </c>
      <c r="F33" s="7">
        <f>'#01 GLR'!F33+'#10 OLED'!F33+'#20 CONF'!F33+'#30 RR'!F33+'#40 YMT'!F33+'#50 YEVT'!F33</f>
        <v>44030</v>
      </c>
      <c r="G33" s="20">
        <f>('#01 GLR'!G33)+('#10 OLED'!G33)+('#20 CONF'!G33)+('#30 RR'!G33)+('#40 YMT'!G33)+('#50 YEVT'!G33)</f>
        <v>45575</v>
      </c>
    </row>
    <row r="34" spans="1:7">
      <c r="A34" s="3" t="s">
        <v>37</v>
      </c>
      <c r="B34" s="3" t="s">
        <v>38</v>
      </c>
      <c r="D34" s="7">
        <f>'#01 GLR'!D34+'#10 OLED'!D34+'#20 CONF'!D34+'#30 RR'!D34+'#40 YMT'!D34+'#50 YEVT'!D34</f>
        <v>4931</v>
      </c>
      <c r="E34" s="7">
        <f>'#01 GLR'!E34+'#10 OLED'!E34+'#20 CONF'!E34+'#30 RR'!E34+'#40 YMT'!E34+'#50 YEVT'!E34</f>
        <v>5100</v>
      </c>
      <c r="F34" s="7">
        <f>'#01 GLR'!F34+'#10 OLED'!F34+'#20 CONF'!F34+'#30 RR'!F34+'#40 YMT'!F34+'#50 YEVT'!F34</f>
        <v>7100</v>
      </c>
      <c r="G34" s="20">
        <f>('#01 GLR'!G34)+('#10 OLED'!G34)+('#20 CONF'!G34)+('#30 RR'!G34)+('#40 YMT'!G34)+('#50 YEVT'!G34)</f>
        <v>5500</v>
      </c>
    </row>
    <row r="35" spans="1:7">
      <c r="A35" s="3" t="s">
        <v>39</v>
      </c>
      <c r="B35" s="3" t="s">
        <v>40</v>
      </c>
      <c r="D35" s="7">
        <f>'#01 GLR'!D35+'#10 OLED'!D35+'#20 CONF'!D35+'#30 RR'!D35+'#40 YMT'!D35+'#50 YEVT'!D35</f>
        <v>741</v>
      </c>
      <c r="E35" s="7">
        <f>'#01 GLR'!E35+'#10 OLED'!E35+'#20 CONF'!E35+'#30 RR'!E35+'#40 YMT'!E35+'#50 YEVT'!E35</f>
        <v>4000</v>
      </c>
      <c r="F35" s="7">
        <f>'#01 GLR'!F35+'#10 OLED'!F35+'#20 CONF'!F35+'#30 RR'!F35+'#40 YMT'!F35+'#50 YEVT'!F35</f>
        <v>2825</v>
      </c>
      <c r="G35" s="20">
        <f>('#01 GLR'!G35)+('#10 OLED'!G35)+('#20 CONF'!G35)+('#30 RR'!G35)+('#40 YMT'!G35)+('#50 YEVT'!G35)</f>
        <v>3195</v>
      </c>
    </row>
    <row r="36" spans="1:7">
      <c r="A36" s="3" t="s">
        <v>41</v>
      </c>
      <c r="B36" s="3" t="s">
        <v>42</v>
      </c>
      <c r="D36" s="7">
        <f>'#01 GLR'!D36+'#10 OLED'!D36+'#20 CONF'!D36+'#30 RR'!D36+'#40 YMT'!D36+'#50 YEVT'!D36</f>
        <v>4817</v>
      </c>
      <c r="E36" s="7">
        <f>'#01 GLR'!E36+'#10 OLED'!E36+'#20 CONF'!E36+'#30 RR'!E36+'#40 YMT'!E36+'#50 YEVT'!E36</f>
        <v>10510</v>
      </c>
      <c r="F36" s="7">
        <f>'#01 GLR'!F36+'#10 OLED'!F36+'#20 CONF'!F36+'#30 RR'!F36+'#40 YMT'!F36+'#50 YEVT'!F36</f>
        <v>10900</v>
      </c>
      <c r="G36" s="20">
        <f>('#01 GLR'!G36)+('#10 OLED'!G36)+('#20 CONF'!G36)+('#30 RR'!G36)+('#40 YMT'!G36)+('#50 YEVT'!G36)</f>
        <v>14905</v>
      </c>
    </row>
    <row r="37" spans="1:7">
      <c r="A37" s="3" t="s">
        <v>43</v>
      </c>
      <c r="B37" s="3" t="s">
        <v>44</v>
      </c>
      <c r="D37" s="7"/>
      <c r="E37" s="7"/>
      <c r="F37" s="8"/>
      <c r="G37" s="20"/>
    </row>
    <row r="38" spans="1:7">
      <c r="A38" s="3" t="s">
        <v>45</v>
      </c>
      <c r="B38" s="3" t="s">
        <v>46</v>
      </c>
      <c r="D38" s="7"/>
      <c r="E38" s="7"/>
      <c r="F38" s="8"/>
      <c r="G38" s="20"/>
    </row>
    <row r="39" spans="1:7">
      <c r="A39" s="3" t="s">
        <v>47</v>
      </c>
      <c r="B39" s="3" t="s">
        <v>48</v>
      </c>
      <c r="D39" s="7">
        <f>'#01 GLR'!D39+'#10 OLED'!D39+'#20 CONF'!D39+'#30 RR'!D39+'#40 YMT'!D39+'#50 YEVT'!D39</f>
        <v>54063</v>
      </c>
      <c r="E39" s="7">
        <f>'#01 GLR'!E39+'#10 OLED'!E39+'#20 CONF'!E39+'#30 RR'!E39+'#40 YMT'!E39+'#50 YEVT'!E39</f>
        <v>51308</v>
      </c>
      <c r="F39" s="7">
        <f>'#01 GLR'!F39+'#10 OLED'!F39+'#20 CONF'!F39+'#30 RR'!F39+'#40 YMT'!F39+'#50 YEVT'!F39</f>
        <v>51808</v>
      </c>
      <c r="G39" s="20">
        <f>('#01 GLR'!G39)+('#10 OLED'!G39)+('#20 CONF'!G39)+('#30 RR'!G39)+('#40 YMT'!G39)+('#50 YEVT'!G39)</f>
        <v>23520</v>
      </c>
    </row>
    <row r="40" spans="1:7">
      <c r="A40" s="3" t="s">
        <v>49</v>
      </c>
      <c r="B40" s="3" t="s">
        <v>50</v>
      </c>
      <c r="D40" s="7">
        <f>'#01 GLR'!D40+'#10 OLED'!D40+'#20 CONF'!D40+'#30 RR'!D40+'#40 YMT'!D40+'#50 YEVT'!D40</f>
        <v>31239</v>
      </c>
      <c r="E40" s="7">
        <f>'#01 GLR'!E40+'#10 OLED'!E40+'#20 CONF'!E40+'#30 RR'!E40+'#40 YMT'!E40+'#50 YEVT'!E40</f>
        <v>29254.05</v>
      </c>
      <c r="F40" s="7">
        <f>'#01 GLR'!F40+'#10 OLED'!F40+'#20 CONF'!F40+'#30 RR'!F40+'#40 YMT'!F40+'#50 YEVT'!F40</f>
        <v>29752</v>
      </c>
      <c r="G40" s="20">
        <f>('#01 GLR'!G40)+('#10 OLED'!G40)+('#20 CONF'!G40)+('#30 RR'!G40)+('#40 YMT'!G40)+('#50 YEVT'!G40)</f>
        <v>40604</v>
      </c>
    </row>
    <row r="41" spans="1:7">
      <c r="A41" s="3" t="s">
        <v>51</v>
      </c>
      <c r="B41" s="3" t="s">
        <v>52</v>
      </c>
      <c r="D41" s="7">
        <f>'#01 GLR'!D41+'#10 OLED'!D41+'#20 CONF'!D41+'#30 RR'!D41+'#40 YMT'!D41+'#50 YEVT'!D41</f>
        <v>2389</v>
      </c>
      <c r="E41" s="7">
        <f>'#01 GLR'!E41+'#10 OLED'!E41+'#20 CONF'!E41+'#30 RR'!E41+'#40 YMT'!E41+'#50 YEVT'!E41</f>
        <v>2238</v>
      </c>
      <c r="F41" s="7">
        <f>'#01 GLR'!F41+'#10 OLED'!F41+'#20 CONF'!F41+'#30 RR'!F41+'#40 YMT'!F41+'#50 YEVT'!F41</f>
        <v>2277</v>
      </c>
      <c r="G41" s="20">
        <f>('#01 GLR'!G41)+('#10 OLED'!G41)+('#20 CONF'!G41)+('#30 RR'!G41)+('#40 YMT'!G41)+('#50 YEVT'!G41)</f>
        <v>3136</v>
      </c>
    </row>
    <row r="42" spans="1:7">
      <c r="A42" s="3" t="s">
        <v>53</v>
      </c>
      <c r="B42" s="3" t="s">
        <v>54</v>
      </c>
      <c r="D42" s="7">
        <f>'#01 GLR'!D42+'#10 OLED'!D42+'#20 CONF'!D42+'#30 RR'!D42+'#40 YMT'!D42+'#50 YEVT'!D42</f>
        <v>0</v>
      </c>
      <c r="E42" s="7">
        <f>'#01 GLR'!E42+'#10 OLED'!E42+'#20 CONF'!E42+'#30 RR'!E42+'#40 YMT'!E42+'#50 YEVT'!E42</f>
        <v>0</v>
      </c>
      <c r="F42" s="7">
        <f>'#01 GLR'!F42+'#10 OLED'!F42+'#20 CONF'!F42+'#30 RR'!F42+'#40 YMT'!F42+'#50 YEVT'!F42</f>
        <v>0</v>
      </c>
      <c r="G42" s="20">
        <f>('#01 GLR'!G42)+('#10 OLED'!G42)+('#20 CONF'!G42)+('#30 RR'!G42)+('#40 YMT'!G42)+('#50 YEVT'!G42)</f>
        <v>0</v>
      </c>
    </row>
    <row r="43" spans="1:7">
      <c r="A43" s="3" t="s">
        <v>55</v>
      </c>
      <c r="B43" s="3" t="s">
        <v>56</v>
      </c>
      <c r="D43" s="7">
        <f>'#01 GLR'!D43+'#10 OLED'!D43+'#20 CONF'!D43+'#30 RR'!D43+'#40 YMT'!D43+'#50 YEVT'!D43</f>
        <v>999</v>
      </c>
      <c r="E43" s="7">
        <f>'#01 GLR'!E43+'#10 OLED'!E43+'#20 CONF'!E43+'#30 RR'!E43+'#40 YMT'!E43+'#50 YEVT'!E43</f>
        <v>4100</v>
      </c>
      <c r="F43" s="7">
        <f>'#01 GLR'!F43+'#10 OLED'!F43+'#20 CONF'!F43+'#30 RR'!F43+'#40 YMT'!F43+'#50 YEVT'!F43</f>
        <v>4340</v>
      </c>
      <c r="G43" s="20">
        <f>('#01 GLR'!G43)+('#10 OLED'!G43)+('#20 CONF'!G43)+('#30 RR'!G43)+('#40 YMT'!G43)+('#50 YEVT'!G43)</f>
        <v>8960</v>
      </c>
    </row>
    <row r="44" spans="1:7">
      <c r="A44" s="52">
        <v>5690</v>
      </c>
      <c r="B44" s="3" t="s">
        <v>57</v>
      </c>
      <c r="D44" s="7">
        <f>'#01 GLR'!D44+'#10 OLED'!D44+'#20 CONF'!D44+'#30 RR'!D44+'#40 YMT'!D44+'#50 YEVT'!D44</f>
        <v>218</v>
      </c>
      <c r="E44" s="7">
        <f>'#01 GLR'!E44+'#10 OLED'!E44+'#20 CONF'!E44+'#30 RR'!E44+'#40 YMT'!E44+'#50 YEVT'!E44</f>
        <v>3000</v>
      </c>
      <c r="F44" s="7">
        <f>'#01 GLR'!F44+'#10 OLED'!F44+'#20 CONF'!F44+'#30 RR'!F44+'#40 YMT'!F44+'#50 YEVT'!F44</f>
        <v>2000</v>
      </c>
      <c r="G44" s="20">
        <f>('#01 GLR'!G44)+('#10 OLED'!G44)+('#20 CONF'!G44)+('#30 RR'!G44)+('#40 YMT'!G44)+('#50 YEVT'!G44)</f>
        <v>2000</v>
      </c>
    </row>
    <row r="45" spans="1:7">
      <c r="A45" s="3" t="s">
        <v>58</v>
      </c>
      <c r="B45" s="3" t="s">
        <v>59</v>
      </c>
      <c r="D45" s="7"/>
      <c r="E45" s="7"/>
      <c r="F45" s="8"/>
      <c r="G45" s="20"/>
    </row>
    <row r="46" spans="1:7">
      <c r="A46" s="3" t="s">
        <v>60</v>
      </c>
      <c r="B46" s="3" t="s">
        <v>61</v>
      </c>
      <c r="D46" s="7">
        <f>'#01 GLR'!D46+'#10 OLED'!D46+'#20 CONF'!D46+'#30 RR'!D46+'#40 YMT'!D46+'#50 YEVT'!D46</f>
        <v>1125</v>
      </c>
      <c r="E46" s="7">
        <f>'#01 GLR'!E46+'#10 OLED'!E46+'#20 CONF'!E46+'#30 RR'!E46+'#40 YMT'!E46+'#50 YEVT'!E46</f>
        <v>0</v>
      </c>
      <c r="F46" s="7">
        <f>'#01 GLR'!F46+'#10 OLED'!F46+'#20 CONF'!F46+'#30 RR'!F46+'#40 YMT'!F46+'#50 YEVT'!F46</f>
        <v>0</v>
      </c>
      <c r="G46" s="20">
        <f>('#01 GLR'!G46)+('#10 OLED'!G46)+('#20 CONF'!G46)+('#30 RR'!G46)+('#40 YMT'!G46)+('#50 YEVT'!G46)</f>
        <v>4500</v>
      </c>
    </row>
    <row r="47" spans="1:7">
      <c r="A47" s="3" t="s">
        <v>62</v>
      </c>
      <c r="B47" s="3" t="s">
        <v>63</v>
      </c>
      <c r="D47" s="7">
        <f>'#01 GLR'!D47+'#10 OLED'!D47+'#20 CONF'!D47+'#30 RR'!D47+'#40 YMT'!D47+'#50 YEVT'!D47</f>
        <v>1011</v>
      </c>
      <c r="E47" s="7">
        <f>'#01 GLR'!E47+'#10 OLED'!E47+'#20 CONF'!E47+'#30 RR'!E47+'#40 YMT'!E47+'#50 YEVT'!E47</f>
        <v>1190</v>
      </c>
      <c r="F47" s="7">
        <f>'#01 GLR'!F47+'#10 OLED'!F47+'#20 CONF'!F47+'#30 RR'!F47+'#40 YMT'!F47+'#50 YEVT'!F47</f>
        <v>1790</v>
      </c>
      <c r="G47" s="20">
        <f>('#01 GLR'!G47)+('#10 OLED'!G47)+('#20 CONF'!G47)+('#30 RR'!G47)+('#40 YMT'!G47)+('#50 YEVT'!G47)</f>
        <v>1300</v>
      </c>
    </row>
    <row r="48" spans="1:7">
      <c r="A48" s="3" t="s">
        <v>64</v>
      </c>
      <c r="B48" s="3" t="s">
        <v>65</v>
      </c>
      <c r="D48" s="7">
        <f>'#01 GLR'!D48+'#10 OLED'!D48+'#20 CONF'!D48+'#30 RR'!D48+'#40 YMT'!D48+'#50 YEVT'!D48</f>
        <v>0</v>
      </c>
      <c r="E48" s="7">
        <f>'#01 GLR'!E48+'#10 OLED'!E48+'#20 CONF'!E48+'#30 RR'!E48+'#40 YMT'!E48+'#50 YEVT'!E48</f>
        <v>395</v>
      </c>
      <c r="F48" s="7">
        <f>'#01 GLR'!F48+'#10 OLED'!F48+'#20 CONF'!F48+'#30 RR'!F48+'#40 YMT'!F48+'#50 YEVT'!F48</f>
        <v>395</v>
      </c>
      <c r="G48" s="20">
        <f>('#01 GLR'!G48)+('#10 OLED'!G48)+('#20 CONF'!G48)+('#30 RR'!G48)+('#40 YMT'!G48)+('#50 YEVT'!G48)</f>
        <v>1395</v>
      </c>
    </row>
    <row r="49" spans="1:7">
      <c r="A49" s="3" t="s">
        <v>66</v>
      </c>
      <c r="B49" s="3" t="s">
        <v>67</v>
      </c>
      <c r="D49" s="7">
        <f>'#01 GLR'!D49+'#10 OLED'!D49+'#20 CONF'!D49+'#30 RR'!D49+'#40 YMT'!D49+'#50 YEVT'!D49</f>
        <v>674</v>
      </c>
      <c r="E49" s="7">
        <f>'#01 GLR'!E49+'#10 OLED'!E49+'#20 CONF'!E49+'#30 RR'!E49+'#40 YMT'!E49+'#50 YEVT'!E49</f>
        <v>571</v>
      </c>
      <c r="F49" s="7">
        <f>'#01 GLR'!F49+'#10 OLED'!F49+'#20 CONF'!F49+'#30 RR'!F49+'#40 YMT'!F49+'#50 YEVT'!F49</f>
        <v>600</v>
      </c>
      <c r="G49" s="20">
        <f>('#01 GLR'!G49)+('#10 OLED'!G49)+('#20 CONF'!G49)+('#30 RR'!G49)+('#40 YMT'!G49)+('#50 YEVT'!G49)</f>
        <v>800</v>
      </c>
    </row>
    <row r="50" spans="1:7">
      <c r="A50" s="3" t="s">
        <v>68</v>
      </c>
      <c r="B50" s="3" t="s">
        <v>69</v>
      </c>
      <c r="D50" s="7">
        <f>'#01 GLR'!D50+'#10 OLED'!D50+'#20 CONF'!D50+'#30 RR'!D50+'#40 YMT'!D50+'#50 YEVT'!D50</f>
        <v>1238</v>
      </c>
      <c r="E50" s="7">
        <f>'#01 GLR'!E50+'#10 OLED'!E50+'#20 CONF'!E50+'#30 RR'!E50+'#40 YMT'!E50+'#50 YEVT'!E50</f>
        <v>2580</v>
      </c>
      <c r="F50" s="7">
        <f>'#01 GLR'!F50+'#10 OLED'!F50+'#20 CONF'!F50+'#30 RR'!F50+'#40 YMT'!F50+'#50 YEVT'!F50</f>
        <v>3250</v>
      </c>
      <c r="G50" s="20">
        <f>('#01 GLR'!G50)+('#10 OLED'!G50)+('#20 CONF'!G50)+('#30 RR'!G50)+('#40 YMT'!G50)+('#50 YEVT'!G50)</f>
        <v>2700</v>
      </c>
    </row>
    <row r="51" spans="1:7">
      <c r="A51" s="3" t="s">
        <v>70</v>
      </c>
      <c r="B51" s="3" t="s">
        <v>71</v>
      </c>
      <c r="D51" s="7">
        <f>'#01 GLR'!D51+'#10 OLED'!D51+'#20 CONF'!D51+'#30 RR'!D51+'#40 YMT'!D51+'#50 YEVT'!D51</f>
        <v>502</v>
      </c>
      <c r="E51" s="7">
        <f>'#01 GLR'!E51+'#10 OLED'!E51+'#20 CONF'!E51+'#30 RR'!E51+'#40 YMT'!E51+'#50 YEVT'!E51</f>
        <v>460</v>
      </c>
      <c r="F51" s="7">
        <f>'#01 GLR'!F51+'#10 OLED'!F51+'#20 CONF'!F51+'#30 RR'!F51+'#40 YMT'!F51+'#50 YEVT'!F51</f>
        <v>450</v>
      </c>
      <c r="G51" s="20">
        <f>('#01 GLR'!G51)+('#10 OLED'!G51)+('#20 CONF'!G51)+('#30 RR'!G51)+('#40 YMT'!G51)+('#50 YEVT'!G51)</f>
        <v>600</v>
      </c>
    </row>
    <row r="52" spans="1:7">
      <c r="A52" s="3" t="s">
        <v>72</v>
      </c>
      <c r="B52" s="3" t="s">
        <v>73</v>
      </c>
      <c r="D52" s="7">
        <f>'#01 GLR'!D52+'#10 OLED'!D52+'#20 CONF'!D52+'#30 RR'!D52+'#40 YMT'!D52+'#50 YEVT'!D52</f>
        <v>3498</v>
      </c>
      <c r="E52" s="7">
        <f>'#01 GLR'!E52+'#10 OLED'!E52+'#20 CONF'!E52+'#30 RR'!E52+'#40 YMT'!E52+'#50 YEVT'!E52</f>
        <v>935</v>
      </c>
      <c r="F52" s="7">
        <f>'#01 GLR'!F52+'#10 OLED'!F52+'#20 CONF'!F52+'#30 RR'!F52+'#40 YMT'!F52+'#50 YEVT'!F52</f>
        <v>3661</v>
      </c>
      <c r="G52" s="20">
        <f>('#01 GLR'!G52)+('#10 OLED'!G52)+('#20 CONF'!G52)+('#30 RR'!G52)+('#40 YMT'!G52)+('#50 YEVT'!G52)</f>
        <v>1676</v>
      </c>
    </row>
    <row r="53" spans="1:7">
      <c r="A53" s="3"/>
      <c r="B53" s="3"/>
      <c r="D53" s="7"/>
      <c r="E53" s="7"/>
      <c r="F53" s="8"/>
      <c r="G53" s="20"/>
    </row>
    <row r="54" spans="3:7">
      <c r="C54" s="14" t="s">
        <v>74</v>
      </c>
      <c r="D54" s="16">
        <f>SUM(D28:D53)</f>
        <v>129661</v>
      </c>
      <c r="E54" s="16">
        <f>SUM(E28:E53)</f>
        <v>187664.05</v>
      </c>
      <c r="F54" s="16">
        <f>SUM(F28:F53)</f>
        <v>178663</v>
      </c>
      <c r="G54" s="16">
        <f>SUM(G28:G53)</f>
        <v>172258.5</v>
      </c>
    </row>
    <row r="56" ht="13.2" spans="2:7">
      <c r="B56" s="21" t="s">
        <v>75</v>
      </c>
      <c r="D56" s="22">
        <f t="shared" ref="D56:G56" si="0">+D24-D54</f>
        <v>4287</v>
      </c>
      <c r="E56" s="22">
        <f t="shared" si="0"/>
        <v>36315.95</v>
      </c>
      <c r="F56" s="22">
        <f t="shared" si="0"/>
        <v>23762</v>
      </c>
      <c r="G56" s="22">
        <f t="shared" si="0"/>
        <v>12579.5</v>
      </c>
    </row>
  </sheetData>
  <mergeCells count="2">
    <mergeCell ref="D5:E5"/>
    <mergeCell ref="D6:E6"/>
  </mergeCells>
  <pageMargins left="0.25" right="0.25" top="0.75" bottom="0.75" header="0.3" footer="0.3"/>
  <pageSetup paperSize="1" scale="98" orientation="portrait" errors="NA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workbookViewId="0">
      <pane ySplit="7" topLeftCell="A8" activePane="bottomLeft" state="frozen"/>
      <selection/>
      <selection pane="bottomLeft" activeCell="G12" sqref="G12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  <col min="22" max="22" width="10.6296296296296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77</v>
      </c>
      <c r="G3" s="4"/>
      <c r="N3" s="2" t="s">
        <v>77</v>
      </c>
    </row>
    <row r="5" spans="4:20">
      <c r="D5" s="5"/>
      <c r="E5" s="5"/>
      <c r="F5" s="5"/>
      <c r="G5" s="5"/>
      <c r="I5" s="23" t="s">
        <v>78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3">
      <c r="A8" s="2" t="s">
        <v>93</v>
      </c>
      <c r="B8" s="6" t="s">
        <v>94</v>
      </c>
      <c r="C8" s="6" t="s">
        <v>11</v>
      </c>
    </row>
    <row r="10" spans="1:7">
      <c r="A10" s="3" t="s">
        <v>95</v>
      </c>
      <c r="B10" s="3" t="s">
        <v>12</v>
      </c>
      <c r="D10" s="7"/>
      <c r="E10" s="7"/>
      <c r="F10" s="8"/>
      <c r="G10" s="9"/>
    </row>
    <row r="11" spans="1:7">
      <c r="A11" s="3" t="s">
        <v>96</v>
      </c>
      <c r="B11" s="3" t="s">
        <v>13</v>
      </c>
      <c r="D11" s="7"/>
      <c r="E11" s="7"/>
      <c r="F11" s="8"/>
      <c r="G11" s="9"/>
    </row>
    <row r="12" ht="13.8" spans="1:22">
      <c r="A12" s="3" t="s">
        <v>97</v>
      </c>
      <c r="B12" s="3" t="s">
        <v>14</v>
      </c>
      <c r="D12" s="7">
        <v>107693</v>
      </c>
      <c r="E12" s="7">
        <v>126000</v>
      </c>
      <c r="F12" s="7">
        <v>117740</v>
      </c>
      <c r="G12" s="10">
        <v>105000</v>
      </c>
      <c r="H12" s="11" t="s">
        <v>98</v>
      </c>
      <c r="I12" s="72">
        <f>(12516+7610+8668)/3</f>
        <v>9598</v>
      </c>
      <c r="J12" s="72">
        <f>(12425+11204+14846)/3</f>
        <v>12825</v>
      </c>
      <c r="K12" s="72">
        <f>(10813+11150+8754)/3</f>
        <v>10239</v>
      </c>
      <c r="L12" s="72">
        <f>(16149+11852+9450)/3</f>
        <v>12483.6666666667</v>
      </c>
      <c r="M12" s="72">
        <f>(8674+6656+9599)/3</f>
        <v>8309.66666666667</v>
      </c>
      <c r="N12" s="73">
        <f>(14598+9362+10172)/3</f>
        <v>11377.3333333333</v>
      </c>
      <c r="O12" s="73">
        <f>(8634+9246+6955)/3</f>
        <v>8278.33333333333</v>
      </c>
      <c r="P12" s="72">
        <f>(10513+10109+10178)/3</f>
        <v>10266.6666666667</v>
      </c>
      <c r="Q12" s="73">
        <f>(9021+7645+7728)/3</f>
        <v>8131.33333333333</v>
      </c>
      <c r="R12" s="73">
        <f>(7204+12852+10315)/3</f>
        <v>10123.6666666667</v>
      </c>
      <c r="S12" s="73">
        <f>(12244+5599+4022)/3</f>
        <v>7288.33333333333</v>
      </c>
      <c r="T12" s="72">
        <f>(8140+10358+7960)/3</f>
        <v>8819.33333333333</v>
      </c>
      <c r="U12" s="75" t="s">
        <v>99</v>
      </c>
      <c r="V12" s="75"/>
    </row>
    <row r="13" ht="13.8" spans="1:22">
      <c r="A13" s="3" t="s">
        <v>100</v>
      </c>
      <c r="B13" s="3" t="s">
        <v>15</v>
      </c>
      <c r="D13" s="7">
        <v>4478</v>
      </c>
      <c r="E13" s="7">
        <v>5000</v>
      </c>
      <c r="F13" s="7">
        <v>4838</v>
      </c>
      <c r="G13" s="10">
        <v>5000</v>
      </c>
      <c r="H13" s="11" t="s">
        <v>98</v>
      </c>
      <c r="I13" s="72">
        <f>(130+170+265)/3</f>
        <v>188.333333333333</v>
      </c>
      <c r="J13" s="72">
        <f>(130+245+80)/3</f>
        <v>151.666666666667</v>
      </c>
      <c r="K13" s="72">
        <f>(130+541+933)/3</f>
        <v>534.666666666667</v>
      </c>
      <c r="L13" s="72">
        <f>(580+280+370)/3</f>
        <v>410</v>
      </c>
      <c r="M13" s="72">
        <f>(105+1005+624)/3</f>
        <v>578</v>
      </c>
      <c r="N13" s="73">
        <f>(281+893+491)/3</f>
        <v>555</v>
      </c>
      <c r="O13" s="73">
        <f>(65+350+245)/3</f>
        <v>220</v>
      </c>
      <c r="P13" s="72">
        <f>(115+410+497)/3</f>
        <v>340.666666666667</v>
      </c>
      <c r="Q13" s="73">
        <f>(633+460+608)/3</f>
        <v>567</v>
      </c>
      <c r="R13" s="73">
        <f>(25+250+613)/3</f>
        <v>296</v>
      </c>
      <c r="S13" s="73">
        <f>(470+90+661)/3</f>
        <v>407</v>
      </c>
      <c r="T13" s="72">
        <f>(400+570+800)/3</f>
        <v>590</v>
      </c>
      <c r="U13" s="75"/>
      <c r="V13" s="75"/>
    </row>
    <row r="14" spans="1:7">
      <c r="A14" s="12" t="s">
        <v>101</v>
      </c>
      <c r="B14" s="12" t="s">
        <v>16</v>
      </c>
      <c r="D14" s="7"/>
      <c r="E14" s="7"/>
      <c r="F14" s="8"/>
      <c r="G14" s="9"/>
    </row>
    <row r="15" spans="1:7">
      <c r="A15" s="12" t="s">
        <v>102</v>
      </c>
      <c r="B15" s="12" t="s">
        <v>17</v>
      </c>
      <c r="D15" s="7"/>
      <c r="E15" s="7"/>
      <c r="F15" s="8"/>
      <c r="G15" s="9"/>
    </row>
    <row r="16" spans="1:7">
      <c r="A16" s="12" t="s">
        <v>103</v>
      </c>
      <c r="B16" s="12" t="s">
        <v>18</v>
      </c>
      <c r="D16" s="7"/>
      <c r="E16" s="7"/>
      <c r="F16" s="8"/>
      <c r="G16" s="9"/>
    </row>
    <row r="17" spans="1:7">
      <c r="A17" s="12" t="s">
        <v>104</v>
      </c>
      <c r="B17" s="12" t="s">
        <v>19</v>
      </c>
      <c r="D17" s="7"/>
      <c r="E17" s="7"/>
      <c r="F17" s="8"/>
      <c r="G17" s="9"/>
    </row>
    <row r="18" spans="1:7">
      <c r="A18" s="12" t="s">
        <v>105</v>
      </c>
      <c r="B18" s="12" t="s">
        <v>20</v>
      </c>
      <c r="D18" s="7"/>
      <c r="E18" s="7"/>
      <c r="F18" s="8"/>
      <c r="G18" s="9"/>
    </row>
    <row r="19" spans="1:7">
      <c r="A19" s="3" t="s">
        <v>106</v>
      </c>
      <c r="B19" s="3" t="s">
        <v>21</v>
      </c>
      <c r="D19" s="7"/>
      <c r="E19" s="7"/>
      <c r="F19" s="8"/>
      <c r="G19" s="9"/>
    </row>
    <row r="20" spans="1:8">
      <c r="A20" s="3" t="s">
        <v>107</v>
      </c>
      <c r="B20" s="3" t="s">
        <v>22</v>
      </c>
      <c r="D20" s="7">
        <v>6</v>
      </c>
      <c r="E20" s="7">
        <v>0</v>
      </c>
      <c r="F20" s="8">
        <v>0</v>
      </c>
      <c r="G20" s="40">
        <v>0</v>
      </c>
      <c r="H20" s="1" t="s">
        <v>108</v>
      </c>
    </row>
    <row r="21" spans="1:8">
      <c r="A21" s="3" t="s">
        <v>109</v>
      </c>
      <c r="B21" s="3" t="s">
        <v>23</v>
      </c>
      <c r="D21" s="7">
        <v>7110</v>
      </c>
      <c r="E21" s="7">
        <v>0</v>
      </c>
      <c r="F21" s="8"/>
      <c r="G21" s="27">
        <v>0</v>
      </c>
      <c r="H21" s="1" t="s">
        <v>108</v>
      </c>
    </row>
    <row r="22" spans="1:20">
      <c r="A22" s="13">
        <v>4990</v>
      </c>
      <c r="B22" s="12" t="s">
        <v>24</v>
      </c>
      <c r="D22" s="7"/>
      <c r="E22" s="7"/>
      <c r="F22" s="8"/>
      <c r="G22" s="18"/>
      <c r="H22" s="11"/>
      <c r="I22" s="47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7">
      <c r="A23" s="3"/>
      <c r="B23" s="3"/>
      <c r="D23" s="7"/>
      <c r="E23" s="7"/>
      <c r="F23" s="8"/>
      <c r="G23" s="9"/>
    </row>
    <row r="24" spans="3:7">
      <c r="C24" s="14" t="s">
        <v>25</v>
      </c>
      <c r="D24" s="16">
        <f>SUM(D10:D23)</f>
        <v>119287</v>
      </c>
      <c r="E24" s="16">
        <f>SUM(E10:E23)</f>
        <v>131000</v>
      </c>
      <c r="F24" s="16">
        <f>SUM(F10:F23)</f>
        <v>122578</v>
      </c>
      <c r="G24" s="16">
        <f>SUM(G10:G23)</f>
        <v>110000</v>
      </c>
    </row>
    <row r="25" spans="7:7">
      <c r="G25" s="9"/>
    </row>
    <row r="26" spans="1:7">
      <c r="A26" s="2" t="s">
        <v>93</v>
      </c>
      <c r="B26" s="6" t="s">
        <v>94</v>
      </c>
      <c r="C26" s="6" t="s">
        <v>26</v>
      </c>
      <c r="G26" s="9"/>
    </row>
    <row r="27" spans="7:7">
      <c r="G27" s="9"/>
    </row>
    <row r="28" spans="1:7">
      <c r="A28" s="3" t="s">
        <v>27</v>
      </c>
      <c r="B28" s="3" t="s">
        <v>28</v>
      </c>
      <c r="D28" s="7"/>
      <c r="E28" s="7"/>
      <c r="F28" s="8"/>
      <c r="G28" s="9"/>
    </row>
    <row r="29" spans="1:7">
      <c r="A29" s="3" t="s">
        <v>29</v>
      </c>
      <c r="B29" s="3" t="s">
        <v>30</v>
      </c>
      <c r="D29" s="7"/>
      <c r="E29" s="7"/>
      <c r="F29" s="8"/>
      <c r="G29" s="9"/>
    </row>
    <row r="30" ht="13.8" spans="1:20">
      <c r="A30" s="3" t="s">
        <v>31</v>
      </c>
      <c r="B30" s="3" t="s">
        <v>32</v>
      </c>
      <c r="D30" s="7">
        <v>10052</v>
      </c>
      <c r="E30" s="7">
        <v>11790</v>
      </c>
      <c r="F30" s="7">
        <v>11733</v>
      </c>
      <c r="G30" s="20">
        <f>(('ALL Funds'!G12+'ALL Funds'!G13)/10)*0.9</f>
        <v>10451.25</v>
      </c>
      <c r="H30" s="11" t="s">
        <v>98</v>
      </c>
      <c r="I30" s="55"/>
      <c r="J30" s="55"/>
      <c r="K30" s="74">
        <v>0.25</v>
      </c>
      <c r="L30" s="55"/>
      <c r="M30" s="55"/>
      <c r="N30" s="74">
        <v>0.25</v>
      </c>
      <c r="O30" s="55"/>
      <c r="P30" s="55"/>
      <c r="Q30" s="74">
        <v>0.25</v>
      </c>
      <c r="R30" s="55"/>
      <c r="S30" s="55"/>
      <c r="T30" s="74">
        <v>0.25</v>
      </c>
    </row>
    <row r="31" spans="1:20">
      <c r="A31" s="52">
        <v>5115</v>
      </c>
      <c r="B31" s="3" t="s">
        <v>33</v>
      </c>
      <c r="D31" s="7">
        <v>1426</v>
      </c>
      <c r="E31" s="7">
        <v>1310</v>
      </c>
      <c r="F31" s="7">
        <v>1304</v>
      </c>
      <c r="G31" s="20">
        <f>(('ALL Funds'!G12+'ALL Funds'!G13)/10)*0.1</f>
        <v>1161.25</v>
      </c>
      <c r="H31" s="11"/>
      <c r="I31" s="55"/>
      <c r="J31" s="55"/>
      <c r="K31" s="74">
        <v>0.25</v>
      </c>
      <c r="L31" s="55"/>
      <c r="M31" s="55"/>
      <c r="N31" s="74">
        <v>0.25</v>
      </c>
      <c r="O31" s="55"/>
      <c r="P31" s="55"/>
      <c r="Q31" s="74">
        <v>0.25</v>
      </c>
      <c r="R31" s="55"/>
      <c r="S31" s="55"/>
      <c r="T31" s="74">
        <v>0.25</v>
      </c>
    </row>
    <row r="32" spans="1:7">
      <c r="A32" s="3" t="s">
        <v>34</v>
      </c>
      <c r="B32" s="3" t="s">
        <v>16</v>
      </c>
      <c r="D32" s="7"/>
      <c r="E32" s="7"/>
      <c r="F32" s="8"/>
      <c r="G32" s="9"/>
    </row>
    <row r="33" spans="1:7">
      <c r="A33" s="12" t="s">
        <v>35</v>
      </c>
      <c r="B33" s="12" t="s">
        <v>36</v>
      </c>
      <c r="D33" s="7"/>
      <c r="E33" s="7"/>
      <c r="F33" s="8"/>
      <c r="G33" s="9"/>
    </row>
    <row r="34" spans="1:7">
      <c r="A34" s="3" t="s">
        <v>37</v>
      </c>
      <c r="B34" s="3" t="s">
        <v>38</v>
      </c>
      <c r="D34" s="7"/>
      <c r="E34" s="7"/>
      <c r="F34" s="8"/>
      <c r="G34" s="69"/>
    </row>
    <row r="35" spans="1:8">
      <c r="A35" s="3" t="s">
        <v>39</v>
      </c>
      <c r="B35" s="3" t="s">
        <v>40</v>
      </c>
      <c r="D35" s="7"/>
      <c r="E35" s="7"/>
      <c r="F35" s="8"/>
      <c r="G35" s="40"/>
      <c r="H35" s="1" t="s">
        <v>108</v>
      </c>
    </row>
    <row r="36" ht="13.8" spans="1:20">
      <c r="A36" s="3" t="s">
        <v>41</v>
      </c>
      <c r="B36" s="3" t="s">
        <v>42</v>
      </c>
      <c r="D36" s="7">
        <v>2119</v>
      </c>
      <c r="E36" s="7">
        <v>5000</v>
      </c>
      <c r="F36" s="7">
        <v>6200</v>
      </c>
      <c r="G36" s="70">
        <v>6500</v>
      </c>
      <c r="H36" s="11" t="s">
        <v>98</v>
      </c>
      <c r="I36" s="54"/>
      <c r="J36" s="63"/>
      <c r="K36" s="54"/>
      <c r="L36" s="55"/>
      <c r="M36" s="63"/>
      <c r="N36" s="54"/>
      <c r="O36" s="63"/>
      <c r="P36" s="63"/>
      <c r="Q36" s="54"/>
      <c r="R36" s="63"/>
      <c r="S36" s="54"/>
      <c r="T36" s="54"/>
    </row>
    <row r="37" spans="1:7">
      <c r="A37" s="3" t="s">
        <v>43</v>
      </c>
      <c r="B37" s="3" t="s">
        <v>44</v>
      </c>
      <c r="D37" s="7"/>
      <c r="E37" s="7"/>
      <c r="F37" s="8"/>
      <c r="G37" s="9"/>
    </row>
    <row r="38" spans="1:7">
      <c r="A38" s="3" t="s">
        <v>45</v>
      </c>
      <c r="B38" s="3" t="s">
        <v>46</v>
      </c>
      <c r="D38" s="7"/>
      <c r="E38" s="7"/>
      <c r="F38" s="8"/>
      <c r="G38" s="9"/>
    </row>
    <row r="39" spans="1:20">
      <c r="A39" s="3" t="s">
        <v>47</v>
      </c>
      <c r="B39" s="3" t="s">
        <v>48</v>
      </c>
      <c r="D39" s="7">
        <v>11971</v>
      </c>
      <c r="E39" s="7">
        <v>10800</v>
      </c>
      <c r="F39" s="7">
        <v>10800</v>
      </c>
      <c r="G39" s="70">
        <f>750*12-9000</f>
        <v>0</v>
      </c>
      <c r="H39" s="71" t="s">
        <v>108</v>
      </c>
      <c r="I39" s="35" t="s">
        <v>110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1">
      <c r="A40" s="3" t="s">
        <v>49</v>
      </c>
      <c r="B40" s="3" t="s">
        <v>50</v>
      </c>
      <c r="D40" s="7">
        <v>10098</v>
      </c>
      <c r="E40" s="7">
        <v>9000</v>
      </c>
      <c r="F40" s="7">
        <v>9000</v>
      </c>
      <c r="G40" s="70">
        <v>9000</v>
      </c>
      <c r="H40" s="71" t="s">
        <v>108</v>
      </c>
      <c r="I40" s="35" t="s">
        <v>111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7"/>
    </row>
    <row r="41" spans="1:20">
      <c r="A41" s="3" t="s">
        <v>51</v>
      </c>
      <c r="B41" s="3" t="s">
        <v>52</v>
      </c>
      <c r="D41" s="7">
        <v>772</v>
      </c>
      <c r="E41" s="7">
        <v>689</v>
      </c>
      <c r="F41" s="8">
        <v>689</v>
      </c>
      <c r="G41" s="20">
        <f>ROUND(+G40*0.0775,0)</f>
        <v>698</v>
      </c>
      <c r="H41" s="71" t="s">
        <v>108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7">
      <c r="A42" s="3" t="s">
        <v>53</v>
      </c>
      <c r="B42" s="3" t="s">
        <v>54</v>
      </c>
      <c r="D42" s="7"/>
      <c r="E42" s="7"/>
      <c r="F42" s="8"/>
      <c r="G42" s="9"/>
    </row>
    <row r="43" ht="13.8" spans="1:20">
      <c r="A43" s="3" t="s">
        <v>55</v>
      </c>
      <c r="B43" s="3" t="s">
        <v>56</v>
      </c>
      <c r="D43" s="7">
        <v>0</v>
      </c>
      <c r="E43" s="7">
        <v>0</v>
      </c>
      <c r="F43" s="7">
        <v>0</v>
      </c>
      <c r="G43" s="27"/>
      <c r="H43" s="11" t="s">
        <v>98</v>
      </c>
      <c r="I43" s="54"/>
      <c r="J43" s="54"/>
      <c r="K43" s="54"/>
      <c r="L43" s="54"/>
      <c r="M43" s="55"/>
      <c r="N43" s="55"/>
      <c r="O43" s="55"/>
      <c r="P43" s="54"/>
      <c r="Q43" s="55"/>
      <c r="R43" s="55"/>
      <c r="S43" s="54"/>
      <c r="T43" s="54"/>
    </row>
    <row r="44" ht="13.8" spans="1:20">
      <c r="A44" s="52">
        <v>5690</v>
      </c>
      <c r="B44" s="3" t="s">
        <v>57</v>
      </c>
      <c r="D44" s="7">
        <v>0</v>
      </c>
      <c r="E44" s="7">
        <v>1000</v>
      </c>
      <c r="F44" s="8">
        <v>0</v>
      </c>
      <c r="G44" s="27"/>
      <c r="H44" s="11" t="s">
        <v>98</v>
      </c>
      <c r="I44" s="55"/>
      <c r="J44" s="55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7">
      <c r="A45" s="3" t="s">
        <v>58</v>
      </c>
      <c r="B45" s="3" t="s">
        <v>59</v>
      </c>
      <c r="D45" s="7"/>
      <c r="E45" s="7"/>
      <c r="F45" s="8"/>
      <c r="G45" s="9"/>
    </row>
    <row r="46" ht="13.8" spans="1:20">
      <c r="A46" s="3" t="s">
        <v>60</v>
      </c>
      <c r="B46" s="3" t="s">
        <v>61</v>
      </c>
      <c r="D46" s="7">
        <v>1125</v>
      </c>
      <c r="E46" s="7">
        <v>0</v>
      </c>
      <c r="F46" s="7">
        <v>0</v>
      </c>
      <c r="G46" s="27">
        <f>375*12</f>
        <v>4500</v>
      </c>
      <c r="H46" s="11" t="s">
        <v>98</v>
      </c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>
      <c r="A47" s="3" t="s">
        <v>62</v>
      </c>
      <c r="B47" s="3" t="s">
        <v>63</v>
      </c>
      <c r="D47" s="7">
        <v>753</v>
      </c>
      <c r="E47" s="7">
        <v>600</v>
      </c>
      <c r="F47" s="8">
        <v>900</v>
      </c>
      <c r="G47" s="27">
        <v>900</v>
      </c>
      <c r="H47" s="71" t="s">
        <v>108</v>
      </c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ht="13.8" spans="1:20">
      <c r="A48" s="3" t="s">
        <v>64</v>
      </c>
      <c r="B48" s="3" t="s">
        <v>65</v>
      </c>
      <c r="D48" s="7">
        <v>0</v>
      </c>
      <c r="E48" s="7">
        <v>395</v>
      </c>
      <c r="F48" s="8">
        <v>395</v>
      </c>
      <c r="G48" s="27">
        <f>395+1000</f>
        <v>1395</v>
      </c>
      <c r="H48" s="11" t="s">
        <v>98</v>
      </c>
      <c r="I48" s="55" t="s">
        <v>112</v>
      </c>
      <c r="J48" s="55"/>
      <c r="K48" s="55"/>
      <c r="L48" s="55"/>
      <c r="M48" s="55"/>
      <c r="N48" s="55"/>
      <c r="O48" s="55"/>
      <c r="P48" s="63"/>
      <c r="Q48" s="63"/>
      <c r="R48" s="55"/>
      <c r="S48" s="55"/>
      <c r="T48" s="55"/>
    </row>
    <row r="49" ht="13.8" spans="1:20">
      <c r="A49" s="3" t="s">
        <v>66</v>
      </c>
      <c r="B49" s="3" t="s">
        <v>67</v>
      </c>
      <c r="D49" s="7">
        <v>674</v>
      </c>
      <c r="E49" s="7">
        <v>571</v>
      </c>
      <c r="F49" s="7">
        <v>600</v>
      </c>
      <c r="G49" s="27">
        <v>800</v>
      </c>
      <c r="H49" s="11" t="s">
        <v>98</v>
      </c>
      <c r="I49" s="54"/>
      <c r="J49" s="54"/>
      <c r="K49" s="54"/>
      <c r="L49" s="54"/>
      <c r="M49" s="54"/>
      <c r="N49" s="54"/>
      <c r="O49" s="54"/>
      <c r="P49" s="54"/>
      <c r="Q49" s="54"/>
      <c r="R49" s="55"/>
      <c r="S49" s="55"/>
      <c r="T49" s="54"/>
    </row>
    <row r="50" ht="13.8" spans="1:21">
      <c r="A50" s="3" t="s">
        <v>68</v>
      </c>
      <c r="B50" s="3" t="s">
        <v>69</v>
      </c>
      <c r="D50" s="7">
        <v>641</v>
      </c>
      <c r="E50" s="7">
        <v>1500</v>
      </c>
      <c r="F50" s="8">
        <v>1200</v>
      </c>
      <c r="G50" s="27">
        <v>1200</v>
      </c>
      <c r="H50" s="11" t="s">
        <v>98</v>
      </c>
      <c r="I50" s="55"/>
      <c r="J50" s="63"/>
      <c r="K50" s="54"/>
      <c r="L50" s="63"/>
      <c r="M50" s="63"/>
      <c r="N50" s="54"/>
      <c r="O50" s="63"/>
      <c r="P50" s="54"/>
      <c r="Q50" s="63"/>
      <c r="R50" s="63"/>
      <c r="S50" s="63"/>
      <c r="T50" s="55"/>
      <c r="U50" s="37"/>
    </row>
    <row r="51" ht="13.8" spans="1:20">
      <c r="A51" s="3" t="s">
        <v>70</v>
      </c>
      <c r="B51" s="3" t="s">
        <v>71</v>
      </c>
      <c r="D51" s="7">
        <v>498</v>
      </c>
      <c r="E51" s="7">
        <v>400</v>
      </c>
      <c r="F51" s="8">
        <v>400</v>
      </c>
      <c r="G51" s="27">
        <v>500</v>
      </c>
      <c r="H51" s="11" t="s">
        <v>98</v>
      </c>
      <c r="I51" s="55"/>
      <c r="J51" s="54"/>
      <c r="K51" s="63"/>
      <c r="L51" s="55"/>
      <c r="M51" s="63"/>
      <c r="N51" s="54"/>
      <c r="O51" s="55"/>
      <c r="P51" s="63"/>
      <c r="Q51" s="54"/>
      <c r="R51" s="63"/>
      <c r="S51" s="54"/>
      <c r="T51" s="54"/>
    </row>
    <row r="52" ht="13.8" spans="1:20">
      <c r="A52" s="3" t="s">
        <v>72</v>
      </c>
      <c r="B52" s="3" t="s">
        <v>73</v>
      </c>
      <c r="D52" s="7">
        <v>1664</v>
      </c>
      <c r="E52" s="7">
        <v>455</v>
      </c>
      <c r="F52" s="7">
        <v>961</v>
      </c>
      <c r="G52" s="41">
        <v>1000</v>
      </c>
      <c r="H52" s="11" t="s">
        <v>98</v>
      </c>
      <c r="I52" s="55"/>
      <c r="J52" s="55"/>
      <c r="K52" s="55"/>
      <c r="L52" s="55"/>
      <c r="M52" s="55"/>
      <c r="N52" s="55"/>
      <c r="O52" s="54"/>
      <c r="P52" s="54"/>
      <c r="Q52" s="55"/>
      <c r="R52" s="54"/>
      <c r="S52" s="54"/>
      <c r="T52" s="54"/>
    </row>
    <row r="53" spans="1:7">
      <c r="A53" s="3"/>
      <c r="B53" s="3"/>
      <c r="D53" s="7"/>
      <c r="E53" s="7"/>
      <c r="F53" s="8"/>
      <c r="G53" s="9"/>
    </row>
    <row r="54" spans="3:7">
      <c r="C54" s="14" t="s">
        <v>74</v>
      </c>
      <c r="D54" s="16">
        <f>SUM(D28:D53)</f>
        <v>41793</v>
      </c>
      <c r="E54" s="16">
        <f>SUM(E28:E53)</f>
        <v>43510</v>
      </c>
      <c r="F54" s="16">
        <f>SUM(F28:F53)</f>
        <v>44182</v>
      </c>
      <c r="G54" s="16">
        <f>SUM(G28:G53)</f>
        <v>38105.5</v>
      </c>
    </row>
    <row r="56" ht="13.2" spans="2:7">
      <c r="B56" s="21" t="s">
        <v>75</v>
      </c>
      <c r="D56" s="22">
        <f t="shared" ref="D56:G56" si="0">+D24-D54</f>
        <v>77494</v>
      </c>
      <c r="E56" s="22">
        <f t="shared" si="0"/>
        <v>87490</v>
      </c>
      <c r="F56" s="22">
        <f t="shared" si="0"/>
        <v>78396</v>
      </c>
      <c r="G56" s="22">
        <f t="shared" si="0"/>
        <v>71894.5</v>
      </c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A19:A21 A17:A18 A8:A16 A32:A43 A23:A30 A45:A5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workbookViewId="0">
      <pane ySplit="7" topLeftCell="A8" activePane="bottomLeft" state="frozen"/>
      <selection/>
      <selection pane="bottomLeft" activeCell="I10" sqref="I10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113</v>
      </c>
      <c r="G3" s="4"/>
      <c r="N3" s="2" t="s">
        <v>113</v>
      </c>
    </row>
    <row r="5" spans="4:20">
      <c r="D5" s="5"/>
      <c r="E5" s="5"/>
      <c r="F5" s="5"/>
      <c r="G5" s="5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3">
      <c r="A8" s="6">
        <v>10</v>
      </c>
      <c r="B8" s="6" t="s">
        <v>114</v>
      </c>
      <c r="C8" s="6" t="s">
        <v>11</v>
      </c>
    </row>
    <row r="10" spans="1:9">
      <c r="A10" s="3" t="s">
        <v>95</v>
      </c>
      <c r="B10" s="3" t="s">
        <v>12</v>
      </c>
      <c r="D10" s="7"/>
      <c r="E10" s="7"/>
      <c r="F10" s="8"/>
      <c r="G10" s="9"/>
      <c r="I10" t="s">
        <v>115</v>
      </c>
    </row>
    <row r="11" spans="1:7">
      <c r="A11" s="3" t="s">
        <v>96</v>
      </c>
      <c r="B11" s="12" t="s">
        <v>13</v>
      </c>
      <c r="D11" s="7"/>
      <c r="E11" s="7"/>
      <c r="F11" s="8"/>
      <c r="G11" s="9"/>
    </row>
    <row r="12" spans="1:21">
      <c r="A12" s="3" t="s">
        <v>97</v>
      </c>
      <c r="B12" s="12" t="s">
        <v>14</v>
      </c>
      <c r="D12" s="7"/>
      <c r="E12" s="8"/>
      <c r="F12" s="8"/>
      <c r="G12" s="64"/>
      <c r="H12" s="11"/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0"/>
      <c r="T12" s="60"/>
      <c r="U12" s="34">
        <f>338+100+25</f>
        <v>463</v>
      </c>
    </row>
    <row r="13" spans="1:21">
      <c r="A13" s="3" t="s">
        <v>100</v>
      </c>
      <c r="B13" s="12" t="s">
        <v>15</v>
      </c>
      <c r="D13" s="7"/>
      <c r="E13" s="7"/>
      <c r="F13" s="7"/>
      <c r="G13" s="64"/>
      <c r="H13" s="11"/>
      <c r="I13" s="60"/>
      <c r="J13" s="60"/>
      <c r="K13" s="60"/>
      <c r="L13" s="60"/>
      <c r="M13" s="60"/>
      <c r="N13" s="60"/>
      <c r="O13" s="60"/>
      <c r="P13" s="61"/>
      <c r="Q13" s="61"/>
      <c r="R13" s="61"/>
      <c r="S13" s="60"/>
      <c r="T13" s="60"/>
      <c r="U13" s="34">
        <f>2535+3468+3966</f>
        <v>9969</v>
      </c>
    </row>
    <row r="14" spans="1:13">
      <c r="A14" s="3" t="s">
        <v>101</v>
      </c>
      <c r="B14" s="3" t="s">
        <v>16</v>
      </c>
      <c r="D14" s="7"/>
      <c r="E14" s="8"/>
      <c r="F14" s="8"/>
      <c r="G14" s="9"/>
      <c r="I14" s="62"/>
      <c r="J14" s="62"/>
      <c r="K14" s="62"/>
      <c r="L14" s="62"/>
      <c r="M14" s="62"/>
    </row>
    <row r="15" ht="13.8" spans="1:21">
      <c r="A15" s="3" t="s">
        <v>102</v>
      </c>
      <c r="B15" s="3" t="s">
        <v>17</v>
      </c>
      <c r="D15" s="7">
        <v>1150</v>
      </c>
      <c r="E15" s="7">
        <v>0</v>
      </c>
      <c r="F15" s="7">
        <v>4000</v>
      </c>
      <c r="G15" s="10">
        <v>0</v>
      </c>
      <c r="H15" s="11" t="s">
        <v>98</v>
      </c>
      <c r="I15" s="26"/>
      <c r="J15" s="26"/>
      <c r="K15" s="10">
        <f>40*25-1000</f>
        <v>0</v>
      </c>
      <c r="L15" s="26"/>
      <c r="M15" s="26"/>
      <c r="N15" s="10">
        <f>40*25-1000</f>
        <v>0</v>
      </c>
      <c r="O15" s="26"/>
      <c r="P15" s="10">
        <f>40*25-1000</f>
        <v>0</v>
      </c>
      <c r="Q15" s="26"/>
      <c r="R15" s="26"/>
      <c r="S15" s="10">
        <f>40*25-1000</f>
        <v>0</v>
      </c>
      <c r="T15" s="10"/>
      <c r="U15" s="35"/>
    </row>
    <row r="16" spans="1:21">
      <c r="A16" s="12" t="s">
        <v>103</v>
      </c>
      <c r="B16" s="12" t="s">
        <v>18</v>
      </c>
      <c r="D16" s="7"/>
      <c r="E16" s="7"/>
      <c r="F16" s="7"/>
      <c r="G16" s="64"/>
      <c r="H16" s="65"/>
      <c r="I16" s="49"/>
      <c r="J16" s="49"/>
      <c r="K16" s="67"/>
      <c r="L16" s="49"/>
      <c r="M16" s="49"/>
      <c r="N16" s="67"/>
      <c r="O16" s="49"/>
      <c r="P16" s="68"/>
      <c r="Q16" s="49"/>
      <c r="R16" s="49"/>
      <c r="S16" s="49"/>
      <c r="T16" s="67"/>
      <c r="U16" s="35"/>
    </row>
    <row r="17" spans="1:7">
      <c r="A17" s="12" t="s">
        <v>104</v>
      </c>
      <c r="B17" s="12" t="s">
        <v>19</v>
      </c>
      <c r="D17" s="7"/>
      <c r="E17" s="8"/>
      <c r="F17" s="8"/>
      <c r="G17" s="9"/>
    </row>
    <row r="18" spans="1:20">
      <c r="A18" s="12" t="s">
        <v>105</v>
      </c>
      <c r="B18" s="12" t="s">
        <v>20</v>
      </c>
      <c r="D18" s="7"/>
      <c r="E18" s="8"/>
      <c r="F18" s="8"/>
      <c r="G18" s="64"/>
      <c r="H18" s="65"/>
      <c r="I18" s="67"/>
      <c r="J18" s="67"/>
      <c r="K18" s="67"/>
      <c r="L18" s="67"/>
      <c r="M18" s="67"/>
      <c r="N18" s="67"/>
      <c r="O18" s="67"/>
      <c r="P18" s="67"/>
      <c r="Q18" s="68"/>
      <c r="R18" s="67"/>
      <c r="S18" s="67"/>
      <c r="T18" s="67"/>
    </row>
    <row r="19" spans="1:7">
      <c r="A19" s="12" t="s">
        <v>106</v>
      </c>
      <c r="B19" s="12" t="s">
        <v>21</v>
      </c>
      <c r="D19" s="7"/>
      <c r="E19" s="7"/>
      <c r="F19" s="8"/>
      <c r="G19" s="9"/>
    </row>
    <row r="20" spans="1:7">
      <c r="A20" s="12" t="s">
        <v>107</v>
      </c>
      <c r="B20" s="12" t="s">
        <v>22</v>
      </c>
      <c r="D20" s="7"/>
      <c r="E20" s="7"/>
      <c r="F20" s="8"/>
      <c r="G20" s="9"/>
    </row>
    <row r="21" spans="1:7">
      <c r="A21" s="12" t="s">
        <v>109</v>
      </c>
      <c r="B21" s="12" t="s">
        <v>23</v>
      </c>
      <c r="D21" s="7"/>
      <c r="E21" s="7"/>
      <c r="F21" s="8"/>
      <c r="G21" s="9"/>
    </row>
    <row r="22" spans="1:7">
      <c r="A22" s="13">
        <v>4990</v>
      </c>
      <c r="B22" s="12" t="s">
        <v>24</v>
      </c>
      <c r="D22" s="7"/>
      <c r="E22" s="7"/>
      <c r="F22" s="8"/>
      <c r="G22" s="9"/>
    </row>
    <row r="23" spans="1:7">
      <c r="A23" s="3"/>
      <c r="B23" s="3"/>
      <c r="D23" s="7"/>
      <c r="E23" s="7"/>
      <c r="F23" s="7"/>
      <c r="G23" s="9"/>
    </row>
    <row r="24" spans="3:7">
      <c r="C24" s="14" t="s">
        <v>25</v>
      </c>
      <c r="D24" s="16">
        <f>SUM(D10:D23)</f>
        <v>1150</v>
      </c>
      <c r="E24" s="16">
        <f>SUM(E10:E23)</f>
        <v>0</v>
      </c>
      <c r="F24" s="16">
        <f>SUM(F10:F23)</f>
        <v>4000</v>
      </c>
      <c r="G24" s="16">
        <f>SUM(G10:G23)</f>
        <v>0</v>
      </c>
    </row>
    <row r="25" spans="7:7">
      <c r="G25" s="9"/>
    </row>
    <row r="26" spans="1:7">
      <c r="A26" s="6">
        <v>10</v>
      </c>
      <c r="B26" s="6" t="s">
        <v>114</v>
      </c>
      <c r="C26" s="6" t="s">
        <v>26</v>
      </c>
      <c r="G26" s="9"/>
    </row>
    <row r="27" spans="7:7">
      <c r="G27" s="9"/>
    </row>
    <row r="28" spans="1:7">
      <c r="A28" s="3" t="s">
        <v>27</v>
      </c>
      <c r="B28" s="3" t="s">
        <v>28</v>
      </c>
      <c r="D28" s="7"/>
      <c r="E28" s="7"/>
      <c r="F28" s="8"/>
      <c r="G28" s="9"/>
    </row>
    <row r="29" spans="1:7">
      <c r="A29" s="12" t="s">
        <v>29</v>
      </c>
      <c r="B29" s="12" t="s">
        <v>30</v>
      </c>
      <c r="D29" s="7"/>
      <c r="E29" s="7"/>
      <c r="F29" s="8"/>
      <c r="G29" s="9"/>
    </row>
    <row r="30" spans="1:7">
      <c r="A30" s="12" t="s">
        <v>31</v>
      </c>
      <c r="B30" s="12" t="s">
        <v>32</v>
      </c>
      <c r="D30" s="7"/>
      <c r="E30" s="7"/>
      <c r="F30" s="8"/>
      <c r="G30" s="9"/>
    </row>
    <row r="31" spans="1:7">
      <c r="A31" s="13">
        <v>5115</v>
      </c>
      <c r="B31" s="12" t="s">
        <v>33</v>
      </c>
      <c r="D31" s="7"/>
      <c r="E31" s="7"/>
      <c r="F31" s="8"/>
      <c r="G31" s="9"/>
    </row>
    <row r="32" spans="1:7">
      <c r="A32" s="3" t="s">
        <v>34</v>
      </c>
      <c r="B32" s="3" t="s">
        <v>16</v>
      </c>
      <c r="D32" s="7"/>
      <c r="E32" s="7"/>
      <c r="F32" s="8"/>
      <c r="G32" s="9"/>
    </row>
    <row r="33" spans="1:20">
      <c r="A33" s="12" t="s">
        <v>35</v>
      </c>
      <c r="B33" s="12" t="s">
        <v>36</v>
      </c>
      <c r="D33" s="7"/>
      <c r="E33" s="7"/>
      <c r="F33" s="7"/>
      <c r="G33" s="64"/>
      <c r="H33" s="65"/>
      <c r="I33" s="67"/>
      <c r="J33" s="67"/>
      <c r="K33" s="67"/>
      <c r="L33" s="67"/>
      <c r="M33" s="67"/>
      <c r="N33" s="67"/>
      <c r="O33" s="67"/>
      <c r="P33" s="67"/>
      <c r="Q33" s="49"/>
      <c r="R33" s="49"/>
      <c r="S33" s="67"/>
      <c r="T33" s="67"/>
    </row>
    <row r="34" ht="13.8" spans="1:21">
      <c r="A34" s="3" t="s">
        <v>37</v>
      </c>
      <c r="B34" s="3" t="s">
        <v>38</v>
      </c>
      <c r="D34" s="7">
        <v>1100</v>
      </c>
      <c r="E34" s="7">
        <v>0</v>
      </c>
      <c r="F34" s="7">
        <v>2000</v>
      </c>
      <c r="G34" s="10">
        <f>SUM(J34:T34)</f>
        <v>0</v>
      </c>
      <c r="H34" s="11" t="s">
        <v>98</v>
      </c>
      <c r="I34" s="26"/>
      <c r="J34" s="26"/>
      <c r="K34" s="10">
        <f>K15/2</f>
        <v>0</v>
      </c>
      <c r="L34" s="26"/>
      <c r="M34" s="26"/>
      <c r="N34" s="10">
        <f>N15/2</f>
        <v>0</v>
      </c>
      <c r="O34" s="26"/>
      <c r="P34" s="10">
        <f>P15/2</f>
        <v>0</v>
      </c>
      <c r="Q34" s="26"/>
      <c r="R34" s="26"/>
      <c r="S34" s="10">
        <f>S15/2</f>
        <v>0</v>
      </c>
      <c r="T34" s="10"/>
      <c r="U34" s="35"/>
    </row>
    <row r="35" spans="1:20">
      <c r="A35" s="12" t="s">
        <v>39</v>
      </c>
      <c r="B35" s="12" t="s">
        <v>40</v>
      </c>
      <c r="D35" s="7"/>
      <c r="E35" s="8"/>
      <c r="F35" s="8"/>
      <c r="G35" s="64"/>
      <c r="H35" s="65"/>
      <c r="I35" s="67"/>
      <c r="J35" s="67"/>
      <c r="K35" s="67"/>
      <c r="L35" s="67"/>
      <c r="M35" s="67"/>
      <c r="N35" s="67"/>
      <c r="O35" s="49"/>
      <c r="P35" s="67"/>
      <c r="Q35" s="49"/>
      <c r="R35" s="49"/>
      <c r="S35" s="67"/>
      <c r="T35" s="67"/>
    </row>
    <row r="36" spans="1:20">
      <c r="A36" s="12" t="s">
        <v>41</v>
      </c>
      <c r="B36" s="12" t="s">
        <v>42</v>
      </c>
      <c r="D36" s="7"/>
      <c r="E36" s="7"/>
      <c r="F36" s="7"/>
      <c r="G36" s="18"/>
      <c r="H36" s="11"/>
      <c r="I36" s="46"/>
      <c r="J36" s="46"/>
      <c r="K36" s="46"/>
      <c r="L36" s="46"/>
      <c r="M36" s="46"/>
      <c r="N36" s="46"/>
      <c r="O36" s="47"/>
      <c r="P36" s="46"/>
      <c r="Q36" s="47"/>
      <c r="R36" s="47"/>
      <c r="S36" s="46"/>
      <c r="T36" s="46"/>
    </row>
    <row r="37" spans="1:7">
      <c r="A37" s="12" t="s">
        <v>43</v>
      </c>
      <c r="B37" s="12" t="s">
        <v>44</v>
      </c>
      <c r="D37" s="7"/>
      <c r="E37" s="8"/>
      <c r="F37" s="8"/>
      <c r="G37" s="9"/>
    </row>
    <row r="38" spans="1:7">
      <c r="A38" s="12" t="s">
        <v>45</v>
      </c>
      <c r="B38" s="12" t="s">
        <v>46</v>
      </c>
      <c r="D38" s="7"/>
      <c r="E38" s="8"/>
      <c r="F38" s="8"/>
      <c r="G38" s="9"/>
    </row>
    <row r="39" spans="1:7">
      <c r="A39" s="12" t="s">
        <v>47</v>
      </c>
      <c r="B39" s="12" t="s">
        <v>48</v>
      </c>
      <c r="D39" s="7"/>
      <c r="E39" s="8"/>
      <c r="F39" s="8"/>
      <c r="G39" s="9"/>
    </row>
    <row r="40" spans="1:20">
      <c r="A40" s="12" t="s">
        <v>49</v>
      </c>
      <c r="B40" s="12" t="s">
        <v>50</v>
      </c>
      <c r="D40" s="7"/>
      <c r="E40" s="59"/>
      <c r="F40" s="8"/>
      <c r="G40" s="18"/>
      <c r="H40" s="11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</row>
    <row r="41" spans="1:20">
      <c r="A41" s="12" t="s">
        <v>51</v>
      </c>
      <c r="B41" s="12" t="s">
        <v>52</v>
      </c>
      <c r="D41" s="7"/>
      <c r="E41" s="59"/>
      <c r="F41" s="8"/>
      <c r="G41" s="9"/>
      <c r="H41" s="11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</row>
    <row r="42" spans="1:7">
      <c r="A42" s="12" t="s">
        <v>53</v>
      </c>
      <c r="B42" s="12" t="s">
        <v>54</v>
      </c>
      <c r="D42" s="7"/>
      <c r="E42" s="8"/>
      <c r="F42" s="8"/>
      <c r="G42" s="9"/>
    </row>
    <row r="43" spans="1:7">
      <c r="A43" s="12" t="s">
        <v>55</v>
      </c>
      <c r="B43" s="12" t="s">
        <v>56</v>
      </c>
      <c r="D43" s="7"/>
      <c r="E43" s="8"/>
      <c r="F43" s="8"/>
      <c r="G43" s="9"/>
    </row>
    <row r="44" spans="1:7">
      <c r="A44" s="13">
        <v>5690</v>
      </c>
      <c r="B44" s="12" t="s">
        <v>57</v>
      </c>
      <c r="D44" s="7"/>
      <c r="E44" s="8"/>
      <c r="F44" s="8"/>
      <c r="G44" s="9"/>
    </row>
    <row r="45" spans="1:7">
      <c r="A45" s="3" t="s">
        <v>58</v>
      </c>
      <c r="B45" s="3" t="s">
        <v>59</v>
      </c>
      <c r="D45" s="7"/>
      <c r="E45" s="8"/>
      <c r="F45" s="8"/>
      <c r="G45" s="9"/>
    </row>
    <row r="46" spans="1:7">
      <c r="A46" s="12" t="s">
        <v>60</v>
      </c>
      <c r="B46" s="12" t="s">
        <v>61</v>
      </c>
      <c r="D46" s="7"/>
      <c r="E46" s="8"/>
      <c r="F46" s="8"/>
      <c r="G46" s="9"/>
    </row>
    <row r="47" ht="13.8" spans="1:20">
      <c r="A47" s="3" t="s">
        <v>62</v>
      </c>
      <c r="B47" s="3" t="s">
        <v>63</v>
      </c>
      <c r="D47" s="7">
        <v>40</v>
      </c>
      <c r="E47" s="8">
        <v>0</v>
      </c>
      <c r="F47" s="8">
        <v>160</v>
      </c>
      <c r="G47" s="10">
        <f>SUM(J47:T47)</f>
        <v>0</v>
      </c>
      <c r="H47" s="11" t="s">
        <v>98</v>
      </c>
      <c r="I47" s="26"/>
      <c r="J47" s="26"/>
      <c r="K47" s="10">
        <v>0</v>
      </c>
      <c r="L47" s="26"/>
      <c r="M47" s="26"/>
      <c r="N47" s="10">
        <v>0</v>
      </c>
      <c r="O47" s="26"/>
      <c r="P47" s="26">
        <v>0</v>
      </c>
      <c r="Q47" s="26"/>
      <c r="R47" s="26"/>
      <c r="S47" s="26">
        <v>0</v>
      </c>
      <c r="T47" s="10"/>
    </row>
    <row r="48" spans="1:7">
      <c r="A48" s="12" t="s">
        <v>64</v>
      </c>
      <c r="B48" s="12" t="s">
        <v>65</v>
      </c>
      <c r="D48" s="7"/>
      <c r="E48" s="8"/>
      <c r="F48" s="8"/>
      <c r="G48" s="9"/>
    </row>
    <row r="49" spans="1:7">
      <c r="A49" s="12" t="s">
        <v>66</v>
      </c>
      <c r="B49" s="12" t="s">
        <v>67</v>
      </c>
      <c r="D49" s="7"/>
      <c r="E49" s="8"/>
      <c r="F49" s="8"/>
      <c r="G49" s="9"/>
    </row>
    <row r="50" spans="1:20">
      <c r="A50" s="12" t="s">
        <v>68</v>
      </c>
      <c r="B50" s="12" t="s">
        <v>69</v>
      </c>
      <c r="D50" s="7"/>
      <c r="E50" s="8"/>
      <c r="F50" s="8"/>
      <c r="G50" s="64"/>
      <c r="H50" s="65"/>
      <c r="I50" s="67"/>
      <c r="J50" s="67"/>
      <c r="K50" s="67"/>
      <c r="L50" s="67"/>
      <c r="M50" s="67"/>
      <c r="N50" s="67"/>
      <c r="O50" s="68"/>
      <c r="P50" s="67"/>
      <c r="Q50" s="68"/>
      <c r="R50" s="68"/>
      <c r="S50" s="67"/>
      <c r="T50" s="67"/>
    </row>
    <row r="51" spans="1:7">
      <c r="A51" s="12" t="s">
        <v>70</v>
      </c>
      <c r="B51" s="12" t="s">
        <v>71</v>
      </c>
      <c r="D51" s="7"/>
      <c r="E51" s="7"/>
      <c r="F51" s="8"/>
      <c r="G51" s="9"/>
    </row>
    <row r="52" spans="1:7">
      <c r="A52" s="3" t="s">
        <v>72</v>
      </c>
      <c r="B52" s="3" t="s">
        <v>73</v>
      </c>
      <c r="D52" s="7"/>
      <c r="E52" s="7"/>
      <c r="F52" s="8"/>
      <c r="G52" s="9"/>
    </row>
    <row r="53" spans="1:7">
      <c r="A53" s="3"/>
      <c r="B53" s="3"/>
      <c r="D53" s="7"/>
      <c r="E53" s="7"/>
      <c r="F53" s="7"/>
      <c r="G53" s="9"/>
    </row>
    <row r="54" spans="3:7">
      <c r="C54" s="14" t="s">
        <v>74</v>
      </c>
      <c r="D54" s="51">
        <f>SUM(D28:D53)</f>
        <v>1140</v>
      </c>
      <c r="E54" s="51">
        <f>SUM(E28:E53)</f>
        <v>0</v>
      </c>
      <c r="F54" s="51">
        <f>SUM(F28:F53)</f>
        <v>2160</v>
      </c>
      <c r="G54" s="66">
        <f>SUM(G28:G53)</f>
        <v>0</v>
      </c>
    </row>
    <row r="55" spans="4:6">
      <c r="D55" s="7"/>
      <c r="E55" s="7"/>
      <c r="F55" s="8"/>
    </row>
    <row r="56" ht="13.2" spans="2:7">
      <c r="B56" s="21" t="s">
        <v>75</v>
      </c>
      <c r="D56" s="22">
        <f t="shared" ref="D56:G56" si="0">+D24-D54</f>
        <v>10</v>
      </c>
      <c r="E56" s="22">
        <f t="shared" si="0"/>
        <v>0</v>
      </c>
      <c r="F56" s="22">
        <f t="shared" si="0"/>
        <v>1840</v>
      </c>
      <c r="G56" s="22">
        <f t="shared" si="0"/>
        <v>0</v>
      </c>
    </row>
    <row r="57" spans="4:6">
      <c r="D57" s="7"/>
      <c r="E57" s="7"/>
      <c r="F57" s="7"/>
    </row>
    <row r="58" spans="4:6">
      <c r="D58" s="7"/>
      <c r="E58" s="7"/>
      <c r="F58" s="8"/>
    </row>
    <row r="59" spans="4:6">
      <c r="D59" s="7"/>
      <c r="E59" s="7"/>
      <c r="F59" s="7"/>
    </row>
    <row r="60" spans="4:6">
      <c r="D60" s="7"/>
      <c r="E60" s="7"/>
      <c r="F60" s="8"/>
    </row>
    <row r="61" spans="4:6">
      <c r="D61" s="7"/>
      <c r="E61" s="7"/>
      <c r="F61" s="8"/>
    </row>
    <row r="62" spans="4:6">
      <c r="D62" s="7"/>
      <c r="E62" s="7"/>
      <c r="F62" s="7"/>
    </row>
    <row r="63" spans="4:6">
      <c r="D63" s="7"/>
      <c r="E63" s="7"/>
      <c r="F63" s="8"/>
    </row>
    <row r="64" spans="4:6">
      <c r="D64" s="7"/>
      <c r="E64" s="7"/>
      <c r="F64" s="8"/>
    </row>
    <row r="65" spans="4:6">
      <c r="D65" s="7"/>
      <c r="E65" s="7"/>
      <c r="F65" s="8"/>
    </row>
    <row r="66" spans="4:6">
      <c r="D66" s="7"/>
      <c r="E66" s="7"/>
      <c r="F66" s="8"/>
    </row>
    <row r="67" spans="4:6">
      <c r="D67" s="15"/>
      <c r="E67" s="15"/>
      <c r="F67" s="15"/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K34 O47 O34 Q47:R47 P34:R34 T47 S34:T34 M47 G47:H47 M34:N34 G34:H34 T15 H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workbookViewId="0">
      <pane ySplit="7" topLeftCell="A11" activePane="bottomLeft" state="frozen"/>
      <selection/>
      <selection pane="bottomLeft" activeCell="I4" sqref="I4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116</v>
      </c>
      <c r="G3" s="4"/>
      <c r="N3" s="2" t="s">
        <v>116</v>
      </c>
    </row>
    <row r="4" spans="9:9">
      <c r="I4" t="s">
        <v>117</v>
      </c>
    </row>
    <row r="5" spans="4:20">
      <c r="D5" s="5"/>
      <c r="E5" s="5"/>
      <c r="F5" s="5"/>
      <c r="G5" s="5"/>
      <c r="I5" s="23" t="s">
        <v>118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3">
      <c r="A8" s="2">
        <v>20</v>
      </c>
      <c r="B8" s="6" t="s">
        <v>119</v>
      </c>
      <c r="C8" s="6" t="s">
        <v>11</v>
      </c>
    </row>
    <row r="10" spans="1:7">
      <c r="A10" s="3" t="s">
        <v>95</v>
      </c>
      <c r="B10" s="3" t="s">
        <v>12</v>
      </c>
      <c r="D10" s="7"/>
      <c r="E10" s="7"/>
      <c r="F10" s="8"/>
      <c r="G10" s="9"/>
    </row>
    <row r="11" spans="1:7">
      <c r="A11" s="3" t="s">
        <v>96</v>
      </c>
      <c r="B11" s="3" t="s">
        <v>13</v>
      </c>
      <c r="D11" s="7"/>
      <c r="E11" s="7"/>
      <c r="F11" s="8"/>
      <c r="G11" s="9"/>
    </row>
    <row r="12" ht="13.8" spans="1:21">
      <c r="A12" s="3" t="s">
        <v>97</v>
      </c>
      <c r="B12" s="3" t="s">
        <v>14</v>
      </c>
      <c r="D12" s="7">
        <v>0</v>
      </c>
      <c r="E12" s="8">
        <v>150</v>
      </c>
      <c r="F12" s="8">
        <v>15</v>
      </c>
      <c r="G12" s="28">
        <v>0</v>
      </c>
      <c r="H12" s="11" t="s">
        <v>98</v>
      </c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0"/>
      <c r="T12" s="60"/>
      <c r="U12" s="34">
        <f>338+100+25</f>
        <v>463</v>
      </c>
    </row>
    <row r="13" ht="13.8" spans="1:21">
      <c r="A13" s="3" t="s">
        <v>100</v>
      </c>
      <c r="B13" s="3" t="s">
        <v>15</v>
      </c>
      <c r="D13" s="7">
        <v>2395</v>
      </c>
      <c r="E13" s="7">
        <v>2500</v>
      </c>
      <c r="F13" s="7">
        <v>2500</v>
      </c>
      <c r="G13" s="28">
        <v>2500</v>
      </c>
      <c r="H13" s="11" t="s">
        <v>98</v>
      </c>
      <c r="I13" s="60"/>
      <c r="J13" s="60"/>
      <c r="K13" s="60"/>
      <c r="L13" s="60"/>
      <c r="M13" s="60"/>
      <c r="N13" s="60"/>
      <c r="O13" s="60"/>
      <c r="P13" s="61"/>
      <c r="Q13" s="61"/>
      <c r="R13" s="61"/>
      <c r="S13" s="60"/>
      <c r="T13" s="60"/>
      <c r="U13" s="34">
        <f>2535+3468+3966</f>
        <v>9969</v>
      </c>
    </row>
    <row r="14" spans="1:13">
      <c r="A14" s="3" t="s">
        <v>101</v>
      </c>
      <c r="B14" s="3" t="s">
        <v>16</v>
      </c>
      <c r="D14" s="7"/>
      <c r="E14" s="8"/>
      <c r="F14" s="8"/>
      <c r="G14" s="9"/>
      <c r="I14" s="62"/>
      <c r="J14" s="62"/>
      <c r="K14" s="62"/>
      <c r="L14" s="62"/>
      <c r="M14" s="62"/>
    </row>
    <row r="15" ht="13.8" spans="1:21">
      <c r="A15" s="3" t="s">
        <v>102</v>
      </c>
      <c r="B15" s="3" t="s">
        <v>17</v>
      </c>
      <c r="D15" s="7">
        <v>9910</v>
      </c>
      <c r="E15" s="7">
        <v>18000</v>
      </c>
      <c r="F15" s="7">
        <v>18000</v>
      </c>
      <c r="G15" s="28">
        <v>20000</v>
      </c>
      <c r="H15" s="11" t="s">
        <v>98</v>
      </c>
      <c r="I15" s="54"/>
      <c r="J15" s="55"/>
      <c r="K15" s="63"/>
      <c r="L15" s="63"/>
      <c r="M15" s="63"/>
      <c r="N15" s="63"/>
      <c r="O15" s="63"/>
      <c r="P15" s="63"/>
      <c r="Q15" s="63"/>
      <c r="R15" s="63"/>
      <c r="S15" s="54"/>
      <c r="T15" s="54"/>
      <c r="U15" s="35"/>
    </row>
    <row r="16" ht="13.8" spans="1:21">
      <c r="A16" s="3" t="s">
        <v>103</v>
      </c>
      <c r="B16" s="3" t="s">
        <v>18</v>
      </c>
      <c r="D16" s="56">
        <v>0</v>
      </c>
      <c r="E16" s="56">
        <v>-3000</v>
      </c>
      <c r="F16" s="56">
        <v>-3000</v>
      </c>
      <c r="G16" s="28">
        <v>-4000</v>
      </c>
      <c r="H16" s="11" t="s">
        <v>98</v>
      </c>
      <c r="I16" s="54"/>
      <c r="J16" s="54"/>
      <c r="K16" s="55"/>
      <c r="L16" s="63"/>
      <c r="M16" s="63"/>
      <c r="N16" s="63"/>
      <c r="O16" s="63"/>
      <c r="P16" s="63"/>
      <c r="Q16" s="63"/>
      <c r="R16" s="63"/>
      <c r="S16" s="54"/>
      <c r="T16" s="54"/>
      <c r="U16" s="35"/>
    </row>
    <row r="17" spans="1:7">
      <c r="A17" s="12" t="s">
        <v>104</v>
      </c>
      <c r="B17" s="12" t="s">
        <v>19</v>
      </c>
      <c r="D17" s="7"/>
      <c r="E17" s="8"/>
      <c r="F17" s="8"/>
      <c r="G17" s="9"/>
    </row>
    <row r="18" ht="13.8" spans="1:20">
      <c r="A18" s="3" t="s">
        <v>105</v>
      </c>
      <c r="B18" s="3" t="s">
        <v>20</v>
      </c>
      <c r="D18" s="7">
        <v>0</v>
      </c>
      <c r="E18" s="8">
        <v>120</v>
      </c>
      <c r="F18" s="8">
        <v>0</v>
      </c>
      <c r="G18" s="27">
        <v>0</v>
      </c>
      <c r="H18" s="11" t="s">
        <v>98</v>
      </c>
      <c r="I18" s="54"/>
      <c r="J18" s="54"/>
      <c r="K18" s="54"/>
      <c r="L18" s="54"/>
      <c r="M18" s="54"/>
      <c r="N18" s="54"/>
      <c r="O18" s="54"/>
      <c r="P18" s="54"/>
      <c r="Q18" s="55"/>
      <c r="R18" s="54"/>
      <c r="S18" s="54"/>
      <c r="T18" s="54"/>
    </row>
    <row r="19" spans="1:7">
      <c r="A19" s="3" t="s">
        <v>106</v>
      </c>
      <c r="B19" s="3" t="s">
        <v>21</v>
      </c>
      <c r="D19" s="7"/>
      <c r="E19" s="7"/>
      <c r="F19" s="8"/>
      <c r="G19" s="9"/>
    </row>
    <row r="20" spans="1:7">
      <c r="A20" s="12" t="s">
        <v>107</v>
      </c>
      <c r="B20" s="12" t="s">
        <v>22</v>
      </c>
      <c r="D20" s="7"/>
      <c r="E20" s="7"/>
      <c r="F20" s="8"/>
      <c r="G20" s="9"/>
    </row>
    <row r="21" spans="1:7">
      <c r="A21" s="12" t="s">
        <v>109</v>
      </c>
      <c r="B21" s="12" t="s">
        <v>23</v>
      </c>
      <c r="D21" s="7"/>
      <c r="E21" s="7"/>
      <c r="F21" s="8"/>
      <c r="G21" s="9"/>
    </row>
    <row r="22" spans="1:7">
      <c r="A22" s="52">
        <v>4990</v>
      </c>
      <c r="B22" s="3" t="s">
        <v>24</v>
      </c>
      <c r="D22" s="7">
        <v>0</v>
      </c>
      <c r="E22" s="7"/>
      <c r="F22" s="8"/>
      <c r="G22" s="9"/>
    </row>
    <row r="23" spans="1:7">
      <c r="A23" s="3"/>
      <c r="B23" s="3"/>
      <c r="D23" s="7"/>
      <c r="E23" s="7"/>
      <c r="F23" s="7"/>
      <c r="G23" s="9"/>
    </row>
    <row r="24" spans="3:7">
      <c r="C24" s="14" t="s">
        <v>25</v>
      </c>
      <c r="D24" s="16">
        <f>SUM(D10:D23)</f>
        <v>12305</v>
      </c>
      <c r="E24" s="16">
        <f>SUM(E10:E23)</f>
        <v>17770</v>
      </c>
      <c r="F24" s="16">
        <f>SUM(F10:F23)</f>
        <v>17515</v>
      </c>
      <c r="G24" s="16">
        <f>SUM(G10:G23)</f>
        <v>18500</v>
      </c>
    </row>
    <row r="25" spans="7:7">
      <c r="G25" s="9"/>
    </row>
    <row r="26" spans="1:7">
      <c r="A26" s="2">
        <v>20</v>
      </c>
      <c r="B26" s="6" t="s">
        <v>119</v>
      </c>
      <c r="C26" s="6" t="s">
        <v>26</v>
      </c>
      <c r="G26" s="9"/>
    </row>
    <row r="27" spans="7:7">
      <c r="G27" s="9"/>
    </row>
    <row r="28" spans="1:7">
      <c r="A28" s="3" t="s">
        <v>27</v>
      </c>
      <c r="B28" s="3" t="s">
        <v>28</v>
      </c>
      <c r="D28" s="7"/>
      <c r="E28" s="7"/>
      <c r="F28" s="8"/>
      <c r="G28" s="9"/>
    </row>
    <row r="29" spans="1:7">
      <c r="A29" s="12" t="s">
        <v>29</v>
      </c>
      <c r="B29" s="12" t="s">
        <v>30</v>
      </c>
      <c r="D29" s="7"/>
      <c r="E29" s="7"/>
      <c r="F29" s="8"/>
      <c r="G29" s="9"/>
    </row>
    <row r="30" spans="1:7">
      <c r="A30" s="12" t="s">
        <v>31</v>
      </c>
      <c r="B30" s="12" t="s">
        <v>32</v>
      </c>
      <c r="D30" s="7"/>
      <c r="E30" s="7"/>
      <c r="F30" s="8"/>
      <c r="G30" s="9"/>
    </row>
    <row r="31" spans="1:7">
      <c r="A31" s="13">
        <v>5115</v>
      </c>
      <c r="B31" s="12" t="s">
        <v>33</v>
      </c>
      <c r="D31" s="7"/>
      <c r="E31" s="7"/>
      <c r="F31" s="8"/>
      <c r="G31" s="9"/>
    </row>
    <row r="32" spans="1:7">
      <c r="A32" s="3" t="s">
        <v>34</v>
      </c>
      <c r="B32" s="3" t="s">
        <v>16</v>
      </c>
      <c r="D32" s="7"/>
      <c r="E32" s="7"/>
      <c r="F32" s="8"/>
      <c r="G32" s="9"/>
    </row>
    <row r="33" ht="13.8" spans="1:20">
      <c r="A33" s="3" t="s">
        <v>35</v>
      </c>
      <c r="B33" s="3" t="s">
        <v>36</v>
      </c>
      <c r="D33" s="7">
        <v>10738</v>
      </c>
      <c r="E33" s="7">
        <v>4400</v>
      </c>
      <c r="F33" s="7">
        <v>4400</v>
      </c>
      <c r="G33" s="28">
        <v>4400</v>
      </c>
      <c r="H33" s="11" t="s">
        <v>98</v>
      </c>
      <c r="I33" s="54"/>
      <c r="J33" s="54"/>
      <c r="K33" s="54"/>
      <c r="L33" s="54"/>
      <c r="M33" s="54"/>
      <c r="N33" s="54"/>
      <c r="O33" s="54"/>
      <c r="P33" s="63"/>
      <c r="Q33" s="63"/>
      <c r="R33" s="63"/>
      <c r="S33" s="55"/>
      <c r="T33" s="54"/>
    </row>
    <row r="34" ht="13.8" spans="1:21">
      <c r="A34" s="3" t="s">
        <v>37</v>
      </c>
      <c r="B34" s="3" t="s">
        <v>38</v>
      </c>
      <c r="D34" s="7">
        <v>3831</v>
      </c>
      <c r="E34" s="7">
        <v>5100</v>
      </c>
      <c r="F34" s="7">
        <v>5100</v>
      </c>
      <c r="G34" s="28">
        <v>5000</v>
      </c>
      <c r="H34" s="11" t="s">
        <v>98</v>
      </c>
      <c r="I34" s="54"/>
      <c r="J34" s="54"/>
      <c r="K34" s="54"/>
      <c r="L34" s="54"/>
      <c r="M34" s="54"/>
      <c r="N34" s="54"/>
      <c r="O34" s="63"/>
      <c r="P34" s="63"/>
      <c r="Q34" s="63"/>
      <c r="R34" s="63"/>
      <c r="S34" s="54"/>
      <c r="T34" s="54"/>
      <c r="U34" s="35"/>
    </row>
    <row r="35" ht="13.8" spans="1:20">
      <c r="A35" s="3" t="s">
        <v>39</v>
      </c>
      <c r="B35" s="3" t="s">
        <v>40</v>
      </c>
      <c r="D35" s="7">
        <v>684</v>
      </c>
      <c r="E35" s="8">
        <v>500</v>
      </c>
      <c r="F35" s="8">
        <v>500</v>
      </c>
      <c r="G35" s="28">
        <v>500</v>
      </c>
      <c r="H35" s="11" t="s">
        <v>98</v>
      </c>
      <c r="I35" s="54"/>
      <c r="J35" s="54"/>
      <c r="K35" s="54"/>
      <c r="L35" s="54"/>
      <c r="M35" s="54"/>
      <c r="N35" s="63"/>
      <c r="O35" s="63"/>
      <c r="P35" s="54"/>
      <c r="Q35" s="63"/>
      <c r="R35" s="63"/>
      <c r="S35" s="54"/>
      <c r="T35" s="54"/>
    </row>
    <row r="36" spans="1:20">
      <c r="A36" s="12" t="s">
        <v>41</v>
      </c>
      <c r="B36" s="12" t="s">
        <v>42</v>
      </c>
      <c r="D36" s="7"/>
      <c r="E36" s="7"/>
      <c r="F36" s="7"/>
      <c r="G36" s="57"/>
      <c r="H36" s="11"/>
      <c r="I36" s="46"/>
      <c r="J36" s="46"/>
      <c r="K36" s="46"/>
      <c r="L36" s="46"/>
      <c r="M36" s="46"/>
      <c r="N36" s="46"/>
      <c r="O36" s="47"/>
      <c r="P36" s="46"/>
      <c r="Q36" s="47"/>
      <c r="R36" s="47"/>
      <c r="S36" s="46"/>
      <c r="T36" s="46"/>
    </row>
    <row r="37" spans="1:7">
      <c r="A37" s="12" t="s">
        <v>43</v>
      </c>
      <c r="B37" s="12" t="s">
        <v>44</v>
      </c>
      <c r="D37" s="7"/>
      <c r="E37" s="8"/>
      <c r="F37" s="8"/>
      <c r="G37" s="58"/>
    </row>
    <row r="38" spans="1:7">
      <c r="A38" s="12" t="s">
        <v>45</v>
      </c>
      <c r="B38" s="12" t="s">
        <v>46</v>
      </c>
      <c r="D38" s="7"/>
      <c r="E38" s="8"/>
      <c r="F38" s="8"/>
      <c r="G38" s="58"/>
    </row>
    <row r="39" spans="1:7">
      <c r="A39" s="12" t="s">
        <v>47</v>
      </c>
      <c r="B39" s="12" t="s">
        <v>48</v>
      </c>
      <c r="D39" s="7"/>
      <c r="E39" s="8"/>
      <c r="F39" s="8"/>
      <c r="G39" s="58"/>
    </row>
    <row r="40" spans="1:20">
      <c r="A40" s="12" t="s">
        <v>49</v>
      </c>
      <c r="B40" s="12" t="s">
        <v>50</v>
      </c>
      <c r="D40" s="7"/>
      <c r="E40" s="59"/>
      <c r="F40" s="8"/>
      <c r="G40" s="57"/>
      <c r="H40" s="11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</row>
    <row r="41" spans="1:20">
      <c r="A41" s="12" t="s">
        <v>51</v>
      </c>
      <c r="B41" s="12" t="s">
        <v>52</v>
      </c>
      <c r="D41" s="7"/>
      <c r="E41" s="59"/>
      <c r="F41" s="8"/>
      <c r="G41" s="58"/>
      <c r="H41" s="11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</row>
    <row r="42" spans="1:7">
      <c r="A42" s="12" t="s">
        <v>53</v>
      </c>
      <c r="B42" s="12" t="s">
        <v>54</v>
      </c>
      <c r="D42" s="7"/>
      <c r="E42" s="8"/>
      <c r="F42" s="8"/>
      <c r="G42" s="58"/>
    </row>
    <row r="43" spans="1:7">
      <c r="A43" s="3" t="s">
        <v>55</v>
      </c>
      <c r="B43" s="3" t="s">
        <v>56</v>
      </c>
      <c r="D43" s="7"/>
      <c r="E43" s="8"/>
      <c r="F43" s="8"/>
      <c r="G43" s="58"/>
    </row>
    <row r="44" spans="1:7">
      <c r="A44" s="13">
        <v>5690</v>
      </c>
      <c r="B44" s="12" t="s">
        <v>57</v>
      </c>
      <c r="D44" s="7"/>
      <c r="E44" s="8"/>
      <c r="F44" s="8"/>
      <c r="G44" s="58"/>
    </row>
    <row r="45" spans="1:7">
      <c r="A45" s="3" t="s">
        <v>58</v>
      </c>
      <c r="B45" s="3" t="s">
        <v>59</v>
      </c>
      <c r="D45" s="7"/>
      <c r="E45" s="8"/>
      <c r="F45" s="8"/>
      <c r="G45" s="58"/>
    </row>
    <row r="46" spans="1:7">
      <c r="A46" s="12" t="s">
        <v>60</v>
      </c>
      <c r="B46" s="12" t="s">
        <v>61</v>
      </c>
      <c r="D46" s="7"/>
      <c r="E46" s="8"/>
      <c r="F46" s="8"/>
      <c r="G46" s="58"/>
    </row>
    <row r="47" ht="13.8" spans="1:20">
      <c r="A47" s="3" t="s">
        <v>62</v>
      </c>
      <c r="B47" s="3" t="s">
        <v>63</v>
      </c>
      <c r="D47" s="7">
        <v>64</v>
      </c>
      <c r="E47" s="8">
        <v>500</v>
      </c>
      <c r="F47" s="8">
        <v>500</v>
      </c>
      <c r="G47" s="28">
        <v>250</v>
      </c>
      <c r="H47" s="11" t="s">
        <v>98</v>
      </c>
      <c r="I47" s="54"/>
      <c r="J47" s="55"/>
      <c r="K47" s="63"/>
      <c r="L47" s="55"/>
      <c r="M47" s="63"/>
      <c r="N47" s="63"/>
      <c r="O47" s="63"/>
      <c r="P47" s="63"/>
      <c r="Q47" s="63"/>
      <c r="R47" s="63"/>
      <c r="S47" s="54"/>
      <c r="T47" s="54"/>
    </row>
    <row r="48" spans="1:7">
      <c r="A48" s="12" t="s">
        <v>64</v>
      </c>
      <c r="B48" s="12" t="s">
        <v>65</v>
      </c>
      <c r="D48" s="7"/>
      <c r="E48" s="8"/>
      <c r="F48" s="8"/>
      <c r="G48" s="58"/>
    </row>
    <row r="49" spans="1:7">
      <c r="A49" s="12" t="s">
        <v>66</v>
      </c>
      <c r="B49" s="12" t="s">
        <v>67</v>
      </c>
      <c r="D49" s="7"/>
      <c r="E49" s="8"/>
      <c r="F49" s="8"/>
      <c r="G49" s="58"/>
    </row>
    <row r="50" ht="13.8" spans="1:20">
      <c r="A50" s="3" t="s">
        <v>68</v>
      </c>
      <c r="B50" s="3" t="s">
        <v>69</v>
      </c>
      <c r="D50" s="7">
        <v>125</v>
      </c>
      <c r="E50" s="8">
        <v>150</v>
      </c>
      <c r="F50" s="8">
        <v>150</v>
      </c>
      <c r="G50" s="28">
        <v>150</v>
      </c>
      <c r="H50" s="11" t="s">
        <v>98</v>
      </c>
      <c r="I50" s="54"/>
      <c r="J50" s="54"/>
      <c r="K50" s="54"/>
      <c r="L50" s="54"/>
      <c r="M50" s="54"/>
      <c r="N50" s="54"/>
      <c r="O50" s="55"/>
      <c r="P50" s="54"/>
      <c r="Q50" s="55"/>
      <c r="R50" s="55"/>
      <c r="S50" s="54"/>
      <c r="T50" s="54"/>
    </row>
    <row r="51" spans="1:7">
      <c r="A51" s="3" t="s">
        <v>70</v>
      </c>
      <c r="B51" s="3" t="s">
        <v>71</v>
      </c>
      <c r="D51" s="7"/>
      <c r="E51" s="7"/>
      <c r="F51" s="8"/>
      <c r="G51" s="58"/>
    </row>
    <row r="52" spans="1:20">
      <c r="A52" s="3" t="s">
        <v>72</v>
      </c>
      <c r="B52" s="3" t="s">
        <v>73</v>
      </c>
      <c r="D52" s="7">
        <v>1579</v>
      </c>
      <c r="E52" s="7">
        <v>0</v>
      </c>
      <c r="F52" s="8">
        <v>2000</v>
      </c>
      <c r="G52" s="28">
        <v>0</v>
      </c>
      <c r="H52" s="11"/>
      <c r="I52" s="54"/>
      <c r="J52" s="54"/>
      <c r="K52" s="54"/>
      <c r="L52" s="54"/>
      <c r="M52" s="54"/>
      <c r="N52" s="54"/>
      <c r="O52" s="55"/>
      <c r="P52" s="54"/>
      <c r="Q52" s="55"/>
      <c r="R52" s="55"/>
      <c r="S52" s="54"/>
      <c r="T52" s="54"/>
    </row>
    <row r="53" spans="1:7">
      <c r="A53" s="3"/>
      <c r="B53" s="3"/>
      <c r="D53" s="7"/>
      <c r="E53" s="7"/>
      <c r="F53" s="7"/>
      <c r="G53" s="9"/>
    </row>
    <row r="54" spans="3:7">
      <c r="C54" s="14" t="s">
        <v>74</v>
      </c>
      <c r="D54" s="16">
        <f>SUM(D28:D53)</f>
        <v>17021</v>
      </c>
      <c r="E54" s="16">
        <f>SUM(E28:E53)</f>
        <v>10650</v>
      </c>
      <c r="F54" s="16">
        <f>SUM(F28:F53)</f>
        <v>12650</v>
      </c>
      <c r="G54" s="16">
        <f>SUM(G28:G53)</f>
        <v>10300</v>
      </c>
    </row>
    <row r="55" spans="4:6">
      <c r="D55" s="7"/>
      <c r="E55" s="7"/>
      <c r="F55" s="8"/>
    </row>
    <row r="56" ht="13.2" spans="2:7">
      <c r="B56" s="21" t="s">
        <v>75</v>
      </c>
      <c r="D56" s="22">
        <f t="shared" ref="D56:G56" si="0">+D24-D54</f>
        <v>-4716</v>
      </c>
      <c r="E56" s="22">
        <f t="shared" si="0"/>
        <v>7120</v>
      </c>
      <c r="F56" s="22">
        <f t="shared" si="0"/>
        <v>4865</v>
      </c>
      <c r="G56" s="22">
        <f t="shared" si="0"/>
        <v>8200</v>
      </c>
    </row>
    <row r="57" spans="4:6">
      <c r="D57" s="7"/>
      <c r="E57" s="7"/>
      <c r="F57" s="7"/>
    </row>
    <row r="58" spans="4:6">
      <c r="D58" s="7"/>
      <c r="E58" s="7"/>
      <c r="F58" s="8"/>
    </row>
    <row r="59" spans="4:6">
      <c r="D59" s="7"/>
      <c r="E59" s="7"/>
      <c r="F59" s="7"/>
    </row>
    <row r="60" spans="4:6">
      <c r="D60" s="7"/>
      <c r="E60" s="7"/>
      <c r="F60" s="8"/>
    </row>
    <row r="61" spans="4:6">
      <c r="D61" s="7"/>
      <c r="E61" s="7"/>
      <c r="F61" s="8"/>
    </row>
    <row r="62" spans="4:6">
      <c r="D62" s="7"/>
      <c r="E62" s="7"/>
      <c r="F62" s="7"/>
    </row>
    <row r="63" spans="4:6">
      <c r="D63" s="7"/>
      <c r="E63" s="7"/>
      <c r="F63" s="8"/>
    </row>
    <row r="64" spans="4:6">
      <c r="D64" s="7"/>
      <c r="E64" s="7"/>
      <c r="F64" s="8"/>
    </row>
    <row r="65" spans="4:6">
      <c r="D65" s="7"/>
      <c r="E65" s="7"/>
      <c r="F65" s="8"/>
    </row>
    <row r="66" spans="4:6">
      <c r="D66" s="7"/>
      <c r="E66" s="7"/>
      <c r="F66" s="8"/>
    </row>
    <row r="67" spans="4:6">
      <c r="D67" s="15"/>
      <c r="E67" s="15"/>
      <c r="F67" s="15"/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A17:A18 A19:A21 A37:A43 A27:A30 A9:A16 A32:A36 A45:A65535 A7 A23:A25 A1:A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pane ySplit="7" topLeftCell="A8" activePane="bottomLeft" state="frozen"/>
      <selection/>
      <selection pane="bottomLeft" activeCell="I30" sqref="I30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120</v>
      </c>
      <c r="G3" s="4"/>
      <c r="N3" s="2" t="s">
        <v>120</v>
      </c>
    </row>
    <row r="4" spans="9:9">
      <c r="I4" t="s">
        <v>121</v>
      </c>
    </row>
    <row r="5" spans="4:20">
      <c r="D5" s="5"/>
      <c r="E5" s="5"/>
      <c r="F5" s="5"/>
      <c r="G5" s="5"/>
      <c r="I5" s="23" t="s">
        <v>118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3">
      <c r="A8" s="2">
        <v>30</v>
      </c>
      <c r="B8" s="6" t="s">
        <v>122</v>
      </c>
      <c r="C8" s="6" t="s">
        <v>11</v>
      </c>
    </row>
    <row r="10" spans="1:7">
      <c r="A10" s="12" t="s">
        <v>95</v>
      </c>
      <c r="B10" s="12" t="s">
        <v>12</v>
      </c>
      <c r="D10" s="7"/>
      <c r="E10" s="7"/>
      <c r="F10" s="8"/>
      <c r="G10" s="9"/>
    </row>
    <row r="11" spans="1:7">
      <c r="A11" s="12" t="s">
        <v>96</v>
      </c>
      <c r="B11" s="12" t="s">
        <v>13</v>
      </c>
      <c r="D11" s="7"/>
      <c r="E11" s="7"/>
      <c r="F11" s="8"/>
      <c r="G11" s="9"/>
    </row>
    <row r="12" ht="13.8" spans="1:20">
      <c r="A12" s="12" t="s">
        <v>97</v>
      </c>
      <c r="B12" s="12" t="s">
        <v>14</v>
      </c>
      <c r="D12" s="7"/>
      <c r="E12" s="7"/>
      <c r="F12" s="7"/>
      <c r="G12" s="27"/>
      <c r="H12" s="11" t="s">
        <v>98</v>
      </c>
      <c r="I12" s="54"/>
      <c r="J12" s="54"/>
      <c r="K12" s="54"/>
      <c r="L12" s="54"/>
      <c r="M12" s="54"/>
      <c r="N12" s="54"/>
      <c r="O12" s="54"/>
      <c r="P12" s="54"/>
      <c r="Q12" s="55"/>
      <c r="R12" s="54"/>
      <c r="S12" s="54"/>
      <c r="T12" s="54"/>
    </row>
    <row r="13" spans="1:7">
      <c r="A13" s="12" t="s">
        <v>100</v>
      </c>
      <c r="B13" s="12" t="s">
        <v>15</v>
      </c>
      <c r="D13" s="7"/>
      <c r="E13" s="7"/>
      <c r="F13" s="7"/>
      <c r="G13" s="9"/>
    </row>
    <row r="14" spans="1:7">
      <c r="A14" s="12" t="s">
        <v>101</v>
      </c>
      <c r="B14" s="12" t="s">
        <v>16</v>
      </c>
      <c r="D14" s="7"/>
      <c r="E14" s="7"/>
      <c r="F14" s="8"/>
      <c r="G14" s="9"/>
    </row>
    <row r="15" spans="1:7">
      <c r="A15" s="12" t="s">
        <v>102</v>
      </c>
      <c r="B15" s="12" t="s">
        <v>17</v>
      </c>
      <c r="D15" s="7"/>
      <c r="E15" s="7"/>
      <c r="F15" s="50"/>
      <c r="G15" s="9"/>
    </row>
    <row r="16" spans="1:7">
      <c r="A16" s="12" t="s">
        <v>103</v>
      </c>
      <c r="B16" s="12" t="s">
        <v>18</v>
      </c>
      <c r="D16" s="7"/>
      <c r="E16" s="7"/>
      <c r="F16" s="7"/>
      <c r="G16" s="9"/>
    </row>
    <row r="17" spans="1:7">
      <c r="A17" s="12" t="s">
        <v>104</v>
      </c>
      <c r="B17" s="12" t="s">
        <v>19</v>
      </c>
      <c r="D17" s="7"/>
      <c r="E17" s="7"/>
      <c r="F17" s="8"/>
      <c r="G17" s="9"/>
    </row>
    <row r="18" spans="1:7">
      <c r="A18" s="12" t="s">
        <v>105</v>
      </c>
      <c r="B18" s="12" t="s">
        <v>20</v>
      </c>
      <c r="D18" s="7"/>
      <c r="E18" s="7"/>
      <c r="F18" s="8"/>
      <c r="G18" s="9"/>
    </row>
    <row r="19" spans="1:7">
      <c r="A19" s="12" t="s">
        <v>106</v>
      </c>
      <c r="B19" s="12" t="s">
        <v>21</v>
      </c>
      <c r="D19" s="7"/>
      <c r="E19" s="7"/>
      <c r="F19" s="8"/>
      <c r="G19" s="9"/>
    </row>
    <row r="20" spans="1:7">
      <c r="A20" s="12" t="s">
        <v>107</v>
      </c>
      <c r="B20" s="12" t="s">
        <v>22</v>
      </c>
      <c r="D20" s="7"/>
      <c r="E20" s="7"/>
      <c r="F20" s="8"/>
      <c r="G20" s="9"/>
    </row>
    <row r="21" spans="1:7">
      <c r="A21" s="12" t="s">
        <v>109</v>
      </c>
      <c r="B21" s="12" t="s">
        <v>23</v>
      </c>
      <c r="D21" s="7"/>
      <c r="E21" s="7"/>
      <c r="F21" s="8"/>
      <c r="G21" s="9"/>
    </row>
    <row r="22" spans="1:7">
      <c r="A22" s="13">
        <v>4990</v>
      </c>
      <c r="B22" s="12" t="s">
        <v>24</v>
      </c>
      <c r="D22" s="7"/>
      <c r="E22" s="7"/>
      <c r="F22" s="8"/>
      <c r="G22" s="9"/>
    </row>
    <row r="23" spans="1:7">
      <c r="A23" s="3"/>
      <c r="B23" s="3"/>
      <c r="D23" s="7"/>
      <c r="E23" s="7"/>
      <c r="F23" s="8"/>
      <c r="G23" s="9"/>
    </row>
    <row r="24" spans="3:7">
      <c r="C24" s="14" t="s">
        <v>25</v>
      </c>
      <c r="D24" s="51">
        <f>SUM(D10:D23)</f>
        <v>0</v>
      </c>
      <c r="E24" s="51">
        <f>SUM(E10:E23)</f>
        <v>0</v>
      </c>
      <c r="F24" s="51">
        <f>SUM(F10:F23)</f>
        <v>0</v>
      </c>
      <c r="G24" s="51">
        <f>SUM(G10:G23)</f>
        <v>0</v>
      </c>
    </row>
    <row r="25" spans="7:7">
      <c r="G25" s="9"/>
    </row>
    <row r="26" spans="1:7">
      <c r="A26" s="2">
        <v>30</v>
      </c>
      <c r="B26" s="6" t="s">
        <v>122</v>
      </c>
      <c r="C26" s="6" t="s">
        <v>26</v>
      </c>
      <c r="G26" s="9"/>
    </row>
    <row r="27" spans="7:7">
      <c r="G27" s="9"/>
    </row>
    <row r="28" spans="1:7">
      <c r="A28" s="3" t="s">
        <v>27</v>
      </c>
      <c r="B28" s="3" t="s">
        <v>28</v>
      </c>
      <c r="D28" s="7"/>
      <c r="E28" s="7"/>
      <c r="F28" s="8"/>
      <c r="G28" s="9"/>
    </row>
    <row r="29" spans="1:7">
      <c r="A29" s="12" t="s">
        <v>29</v>
      </c>
      <c r="B29" s="12" t="s">
        <v>30</v>
      </c>
      <c r="D29" s="7"/>
      <c r="E29" s="7"/>
      <c r="F29" s="8"/>
      <c r="G29" s="9"/>
    </row>
    <row r="30" spans="1:7">
      <c r="A30" s="12" t="s">
        <v>31</v>
      </c>
      <c r="B30" s="12" t="s">
        <v>32</v>
      </c>
      <c r="D30" s="7"/>
      <c r="E30" s="7"/>
      <c r="F30" s="7"/>
      <c r="G30" s="9"/>
    </row>
    <row r="31" spans="1:7">
      <c r="A31" s="13">
        <v>5115</v>
      </c>
      <c r="B31" s="12" t="s">
        <v>33</v>
      </c>
      <c r="D31" s="7"/>
      <c r="E31" s="7"/>
      <c r="F31" s="7"/>
      <c r="G31" s="9"/>
    </row>
    <row r="32" spans="1:7">
      <c r="A32" s="3" t="s">
        <v>34</v>
      </c>
      <c r="B32" s="3" t="s">
        <v>16</v>
      </c>
      <c r="D32" s="7"/>
      <c r="E32" s="7"/>
      <c r="F32" s="8"/>
      <c r="G32" s="9"/>
    </row>
    <row r="33" spans="1:7">
      <c r="A33" s="12" t="s">
        <v>35</v>
      </c>
      <c r="B33" s="12" t="s">
        <v>36</v>
      </c>
      <c r="D33" s="7"/>
      <c r="E33" s="7"/>
      <c r="F33" s="8"/>
      <c r="G33" s="9"/>
    </row>
    <row r="34" spans="1:7">
      <c r="A34" s="12" t="s">
        <v>37</v>
      </c>
      <c r="B34" s="12" t="s">
        <v>38</v>
      </c>
      <c r="D34" s="7"/>
      <c r="E34" s="7"/>
      <c r="F34" s="8"/>
      <c r="G34" s="9"/>
    </row>
    <row r="35" spans="1:7">
      <c r="A35" s="3" t="s">
        <v>39</v>
      </c>
      <c r="B35" s="3" t="s">
        <v>40</v>
      </c>
      <c r="D35" s="7">
        <v>0</v>
      </c>
      <c r="E35" s="7">
        <v>0</v>
      </c>
      <c r="F35" s="8"/>
      <c r="G35" s="9"/>
    </row>
    <row r="36" ht="13.8" spans="1:21">
      <c r="A36" s="3" t="s">
        <v>41</v>
      </c>
      <c r="B36" s="3" t="s">
        <v>42</v>
      </c>
      <c r="D36" s="7">
        <v>2582</v>
      </c>
      <c r="E36" s="7">
        <v>3500</v>
      </c>
      <c r="F36" s="7">
        <v>3500</v>
      </c>
      <c r="G36" s="28">
        <v>3500</v>
      </c>
      <c r="H36" s="11" t="s">
        <v>98</v>
      </c>
      <c r="I36" s="44">
        <f>ROUND(+$G36/12,0)-1</f>
        <v>291</v>
      </c>
      <c r="J36" s="44">
        <f t="shared" ref="J36:T36" si="0">ROUND(+$G36/12,0)</f>
        <v>292</v>
      </c>
      <c r="K36" s="44">
        <f t="shared" si="0"/>
        <v>292</v>
      </c>
      <c r="L36" s="44">
        <f>ROUND(+$G36/12,0)-1</f>
        <v>291</v>
      </c>
      <c r="M36" s="44">
        <f t="shared" si="0"/>
        <v>292</v>
      </c>
      <c r="N36" s="44">
        <f t="shared" si="0"/>
        <v>292</v>
      </c>
      <c r="O36" s="44">
        <f>ROUND(+$G36/12,0)-1</f>
        <v>291</v>
      </c>
      <c r="P36" s="44">
        <f t="shared" si="0"/>
        <v>292</v>
      </c>
      <c r="Q36" s="44">
        <f t="shared" si="0"/>
        <v>292</v>
      </c>
      <c r="R36" s="44">
        <f>ROUND(+$G36/12,0)-1</f>
        <v>291</v>
      </c>
      <c r="S36" s="44">
        <f t="shared" si="0"/>
        <v>292</v>
      </c>
      <c r="T36" s="44">
        <f t="shared" si="0"/>
        <v>292</v>
      </c>
      <c r="U36" s="37"/>
    </row>
    <row r="37" spans="1:7">
      <c r="A37" s="3" t="s">
        <v>43</v>
      </c>
      <c r="B37" s="3" t="s">
        <v>44</v>
      </c>
      <c r="D37" s="7"/>
      <c r="E37" s="8"/>
      <c r="F37" s="8"/>
      <c r="G37" s="9"/>
    </row>
    <row r="38" spans="1:7">
      <c r="A38" s="3" t="s">
        <v>45</v>
      </c>
      <c r="B38" s="3" t="s">
        <v>46</v>
      </c>
      <c r="D38" s="7"/>
      <c r="E38" s="8"/>
      <c r="F38" s="8"/>
      <c r="G38" s="9"/>
    </row>
    <row r="39" spans="1:20">
      <c r="A39" s="3" t="s">
        <v>47</v>
      </c>
      <c r="B39" s="3" t="s">
        <v>48</v>
      </c>
      <c r="D39" s="7">
        <v>21046</v>
      </c>
      <c r="E39" s="7">
        <v>20254</v>
      </c>
      <c r="F39" s="7">
        <v>20504</v>
      </c>
      <c r="G39" s="19">
        <f>(1960*12)</f>
        <v>23520</v>
      </c>
      <c r="H39" s="1" t="s">
        <v>108</v>
      </c>
      <c r="I39" s="19">
        <f>ROUND(+$G39/12,0)</f>
        <v>1960</v>
      </c>
      <c r="J39" s="19">
        <f t="shared" ref="J39:T39" si="1">ROUND(+$G39/12,0)</f>
        <v>1960</v>
      </c>
      <c r="K39" s="19">
        <f t="shared" si="1"/>
        <v>1960</v>
      </c>
      <c r="L39" s="19">
        <f t="shared" si="1"/>
        <v>1960</v>
      </c>
      <c r="M39" s="19">
        <f t="shared" si="1"/>
        <v>1960</v>
      </c>
      <c r="N39" s="19">
        <f t="shared" si="1"/>
        <v>1960</v>
      </c>
      <c r="O39" s="19">
        <f t="shared" si="1"/>
        <v>1960</v>
      </c>
      <c r="P39" s="19">
        <f t="shared" si="1"/>
        <v>1960</v>
      </c>
      <c r="Q39" s="19">
        <f t="shared" si="1"/>
        <v>1960</v>
      </c>
      <c r="R39" s="19">
        <f t="shared" si="1"/>
        <v>1960</v>
      </c>
      <c r="S39" s="19">
        <f t="shared" si="1"/>
        <v>1960</v>
      </c>
      <c r="T39" s="19">
        <f t="shared" si="1"/>
        <v>1960</v>
      </c>
    </row>
    <row r="40" spans="1:7">
      <c r="A40" s="12" t="s">
        <v>49</v>
      </c>
      <c r="B40" s="12" t="s">
        <v>50</v>
      </c>
      <c r="D40" s="7"/>
      <c r="E40" s="8"/>
      <c r="F40" s="8"/>
      <c r="G40" s="9"/>
    </row>
    <row r="41" spans="1:7">
      <c r="A41" s="12" t="s">
        <v>51</v>
      </c>
      <c r="B41" s="12" t="s">
        <v>52</v>
      </c>
      <c r="D41" s="7"/>
      <c r="E41" s="8"/>
      <c r="F41" s="8"/>
      <c r="G41" s="9"/>
    </row>
    <row r="42" spans="1:7">
      <c r="A42" s="12" t="s">
        <v>53</v>
      </c>
      <c r="B42" s="12" t="s">
        <v>54</v>
      </c>
      <c r="D42" s="7"/>
      <c r="E42" s="8"/>
      <c r="F42" s="8"/>
      <c r="G42" s="9"/>
    </row>
    <row r="43" ht="13.8" spans="1:20">
      <c r="A43" s="3" t="s">
        <v>55</v>
      </c>
      <c r="B43" s="3" t="s">
        <v>56</v>
      </c>
      <c r="D43" s="7">
        <v>104</v>
      </c>
      <c r="E43" s="7">
        <v>2000</v>
      </c>
      <c r="F43" s="7">
        <v>2000</v>
      </c>
      <c r="G43" s="28">
        <v>2000</v>
      </c>
      <c r="H43" s="11" t="s">
        <v>98</v>
      </c>
      <c r="I43" s="44">
        <f t="shared" ref="I43:T44" si="2">ROUND(+$G43/12,0)</f>
        <v>167</v>
      </c>
      <c r="J43" s="44">
        <f>ROUND(+$G43/12,0)-1</f>
        <v>166</v>
      </c>
      <c r="K43" s="44">
        <f t="shared" si="2"/>
        <v>167</v>
      </c>
      <c r="L43" s="44">
        <f t="shared" si="2"/>
        <v>167</v>
      </c>
      <c r="M43" s="44">
        <f>ROUND(+$G43/12,0)-1</f>
        <v>166</v>
      </c>
      <c r="N43" s="44">
        <f t="shared" si="2"/>
        <v>167</v>
      </c>
      <c r="O43" s="44">
        <f t="shared" si="2"/>
        <v>167</v>
      </c>
      <c r="P43" s="44">
        <f>ROUND(+$G43/12,0)-1</f>
        <v>166</v>
      </c>
      <c r="Q43" s="44">
        <f t="shared" si="2"/>
        <v>167</v>
      </c>
      <c r="R43" s="44">
        <f t="shared" si="2"/>
        <v>167</v>
      </c>
      <c r="S43" s="44">
        <f>ROUND(+$G43/12,0)-1</f>
        <v>166</v>
      </c>
      <c r="T43" s="44">
        <f t="shared" si="2"/>
        <v>167</v>
      </c>
    </row>
    <row r="44" ht="13.8" spans="1:20">
      <c r="A44" s="52">
        <v>5690</v>
      </c>
      <c r="B44" s="3" t="s">
        <v>57</v>
      </c>
      <c r="D44" s="7">
        <v>218</v>
      </c>
      <c r="E44" s="7">
        <v>2000</v>
      </c>
      <c r="F44" s="7">
        <v>2000</v>
      </c>
      <c r="G44" s="28">
        <v>2000</v>
      </c>
      <c r="H44" s="11" t="s">
        <v>98</v>
      </c>
      <c r="I44" s="44">
        <f t="shared" si="2"/>
        <v>167</v>
      </c>
      <c r="J44" s="44">
        <f t="shared" si="2"/>
        <v>167</v>
      </c>
      <c r="K44" s="44">
        <f>ROUND(+$G44/12,0)-1</f>
        <v>166</v>
      </c>
      <c r="L44" s="44">
        <f t="shared" si="2"/>
        <v>167</v>
      </c>
      <c r="M44" s="44">
        <f t="shared" si="2"/>
        <v>167</v>
      </c>
      <c r="N44" s="44">
        <f>ROUND(+$G44/12,0)-1</f>
        <v>166</v>
      </c>
      <c r="O44" s="44">
        <f t="shared" si="2"/>
        <v>167</v>
      </c>
      <c r="P44" s="44">
        <f t="shared" si="2"/>
        <v>167</v>
      </c>
      <c r="Q44" s="44">
        <f>ROUND(+$G44/12,0)-1</f>
        <v>166</v>
      </c>
      <c r="R44" s="44">
        <f t="shared" si="2"/>
        <v>167</v>
      </c>
      <c r="S44" s="44">
        <f t="shared" si="2"/>
        <v>167</v>
      </c>
      <c r="T44" s="44">
        <f>ROUND(+$G44/12,0)-1</f>
        <v>166</v>
      </c>
    </row>
    <row r="45" spans="1:7">
      <c r="A45" s="3" t="s">
        <v>58</v>
      </c>
      <c r="B45" s="3" t="s">
        <v>59</v>
      </c>
      <c r="D45" s="7"/>
      <c r="E45" s="8"/>
      <c r="F45" s="8"/>
      <c r="G45" s="9"/>
    </row>
    <row r="46" spans="1:7">
      <c r="A46" s="12" t="s">
        <v>60</v>
      </c>
      <c r="B46" s="12" t="s">
        <v>61</v>
      </c>
      <c r="D46" s="7"/>
      <c r="E46" s="8"/>
      <c r="F46" s="8"/>
      <c r="G46" s="9"/>
    </row>
    <row r="47" spans="1:7">
      <c r="A47" s="12" t="s">
        <v>62</v>
      </c>
      <c r="B47" s="12" t="s">
        <v>63</v>
      </c>
      <c r="D47" s="7"/>
      <c r="E47" s="8"/>
      <c r="F47" s="8"/>
      <c r="G47" s="9"/>
    </row>
    <row r="48" spans="1:7">
      <c r="A48" s="12" t="s">
        <v>64</v>
      </c>
      <c r="B48" s="12" t="s">
        <v>65</v>
      </c>
      <c r="D48" s="7"/>
      <c r="E48" s="8"/>
      <c r="F48" s="8"/>
      <c r="G48" s="9"/>
    </row>
    <row r="49" spans="1:7">
      <c r="A49" s="12" t="s">
        <v>66</v>
      </c>
      <c r="B49" s="12" t="s">
        <v>67</v>
      </c>
      <c r="D49" s="7"/>
      <c r="E49" s="8"/>
      <c r="F49" s="8"/>
      <c r="G49" s="9"/>
    </row>
    <row r="50" spans="1:8">
      <c r="A50" s="3" t="s">
        <v>68</v>
      </c>
      <c r="B50" s="3" t="s">
        <v>69</v>
      </c>
      <c r="D50" s="7">
        <v>171</v>
      </c>
      <c r="E50" s="8">
        <v>200</v>
      </c>
      <c r="F50" s="8">
        <v>200</v>
      </c>
      <c r="G50" s="27">
        <v>0</v>
      </c>
      <c r="H50" s="1" t="s">
        <v>108</v>
      </c>
    </row>
    <row r="51" spans="1:7">
      <c r="A51" s="3" t="s">
        <v>70</v>
      </c>
      <c r="B51" s="3" t="s">
        <v>71</v>
      </c>
      <c r="D51" s="7"/>
      <c r="E51" s="7"/>
      <c r="F51" s="8"/>
      <c r="G51" s="9"/>
    </row>
    <row r="52" spans="1:7">
      <c r="A52" s="12" t="s">
        <v>72</v>
      </c>
      <c r="B52" s="12" t="s">
        <v>73</v>
      </c>
      <c r="D52" s="7"/>
      <c r="E52" s="7"/>
      <c r="F52" s="7"/>
      <c r="G52" s="9"/>
    </row>
    <row r="53" spans="1:7">
      <c r="A53" s="3"/>
      <c r="B53" s="3"/>
      <c r="D53" s="7"/>
      <c r="E53" s="7"/>
      <c r="F53" s="7"/>
      <c r="G53" s="9"/>
    </row>
    <row r="54" spans="3:20">
      <c r="C54" s="14" t="s">
        <v>74</v>
      </c>
      <c r="D54" s="16">
        <f>SUM(D28:D53)</f>
        <v>24121</v>
      </c>
      <c r="E54" s="16">
        <f>SUM(E28:E53)</f>
        <v>27954</v>
      </c>
      <c r="F54" s="16">
        <f>SUM(F28:F53)</f>
        <v>28204</v>
      </c>
      <c r="G54" s="16">
        <f>SUM(G28:G53)</f>
        <v>31020</v>
      </c>
      <c r="I54" s="20">
        <f t="shared" ref="I54:T54" si="3">SUM(I28:I53)</f>
        <v>2585</v>
      </c>
      <c r="J54" s="20">
        <f t="shared" si="3"/>
        <v>2585</v>
      </c>
      <c r="K54" s="20">
        <f t="shared" si="3"/>
        <v>2585</v>
      </c>
      <c r="L54" s="20">
        <f t="shared" si="3"/>
        <v>2585</v>
      </c>
      <c r="M54" s="20">
        <f t="shared" si="3"/>
        <v>2585</v>
      </c>
      <c r="N54" s="20">
        <f t="shared" si="3"/>
        <v>2585</v>
      </c>
      <c r="O54" s="20">
        <f t="shared" si="3"/>
        <v>2585</v>
      </c>
      <c r="P54" s="20">
        <f t="shared" si="3"/>
        <v>2585</v>
      </c>
      <c r="Q54" s="20">
        <f t="shared" si="3"/>
        <v>2585</v>
      </c>
      <c r="R54" s="20">
        <f t="shared" si="3"/>
        <v>2585</v>
      </c>
      <c r="S54" s="20">
        <f t="shared" si="3"/>
        <v>2585</v>
      </c>
      <c r="T54" s="20">
        <f t="shared" si="3"/>
        <v>2585</v>
      </c>
    </row>
    <row r="55" spans="4:20">
      <c r="D55" s="7"/>
      <c r="E55" s="7"/>
      <c r="F55" s="8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ht="13.2" spans="2:20">
      <c r="B56" s="21" t="s">
        <v>75</v>
      </c>
      <c r="D56" s="22">
        <f t="shared" ref="D56:G56" si="4">+D24-D54</f>
        <v>-24121</v>
      </c>
      <c r="E56" s="22">
        <f t="shared" si="4"/>
        <v>-27954</v>
      </c>
      <c r="F56" s="22">
        <f t="shared" si="4"/>
        <v>-28204</v>
      </c>
      <c r="G56" s="22">
        <f t="shared" si="4"/>
        <v>-31020</v>
      </c>
      <c r="I56" s="33">
        <f t="shared" ref="I56:T56" si="5">+I24-I54</f>
        <v>-2585</v>
      </c>
      <c r="J56" s="33">
        <f t="shared" si="5"/>
        <v>-2585</v>
      </c>
      <c r="K56" s="33">
        <f t="shared" si="5"/>
        <v>-2585</v>
      </c>
      <c r="L56" s="33">
        <f t="shared" si="5"/>
        <v>-2585</v>
      </c>
      <c r="M56" s="33">
        <f t="shared" si="5"/>
        <v>-2585</v>
      </c>
      <c r="N56" s="33">
        <f t="shared" si="5"/>
        <v>-2585</v>
      </c>
      <c r="O56" s="33">
        <f t="shared" si="5"/>
        <v>-2585</v>
      </c>
      <c r="P56" s="33">
        <f t="shared" si="5"/>
        <v>-2585</v>
      </c>
      <c r="Q56" s="33">
        <f t="shared" si="5"/>
        <v>-2585</v>
      </c>
      <c r="R56" s="33">
        <f t="shared" si="5"/>
        <v>-2585</v>
      </c>
      <c r="S56" s="33">
        <f t="shared" si="5"/>
        <v>-2585</v>
      </c>
      <c r="T56" s="33">
        <f t="shared" si="5"/>
        <v>-2585</v>
      </c>
    </row>
    <row r="57" spans="2:6">
      <c r="B57" s="53" t="s">
        <v>123</v>
      </c>
      <c r="D57" s="7"/>
      <c r="E57" s="7"/>
      <c r="F57" s="8"/>
    </row>
    <row r="58" spans="4:6">
      <c r="D58" s="7"/>
      <c r="E58" s="7"/>
      <c r="F58" s="8"/>
    </row>
    <row r="59" spans="4:6">
      <c r="D59" s="7"/>
      <c r="E59" s="7"/>
      <c r="F59" s="8"/>
    </row>
    <row r="60" spans="4:6">
      <c r="D60" s="7"/>
      <c r="E60" s="7"/>
      <c r="F60" s="8"/>
    </row>
    <row r="61" spans="4:6">
      <c r="D61" s="7"/>
      <c r="E61" s="7"/>
      <c r="F61" s="8"/>
    </row>
    <row r="62" spans="4:6">
      <c r="D62" s="15"/>
      <c r="E62" s="15"/>
      <c r="F62" s="15"/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A19:A21 A17:A18 A37:A43 A27:A30 A9:A16 A32:A36 A45:A52 A23:A25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4"/>
  <sheetViews>
    <sheetView topLeftCell="C1" workbookViewId="0">
      <pane ySplit="7" topLeftCell="A35" activePane="bottomLeft" state="frozen"/>
      <selection/>
      <selection pane="bottomLeft" activeCell="G41" sqref="G41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124</v>
      </c>
      <c r="G3" s="4"/>
      <c r="N3" s="2" t="s">
        <v>124</v>
      </c>
    </row>
    <row r="4" spans="9:9">
      <c r="I4" t="s">
        <v>125</v>
      </c>
    </row>
    <row r="5" spans="4:20">
      <c r="D5" s="5"/>
      <c r="E5" s="5"/>
      <c r="F5" s="5"/>
      <c r="G5" s="5"/>
      <c r="I5" s="23" t="s">
        <v>126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3">
      <c r="A8" s="2">
        <v>40</v>
      </c>
      <c r="B8" s="6" t="s">
        <v>127</v>
      </c>
      <c r="C8" s="6" t="s">
        <v>11</v>
      </c>
    </row>
    <row r="10" spans="1:7">
      <c r="A10" s="3" t="s">
        <v>95</v>
      </c>
      <c r="B10" s="3" t="s">
        <v>12</v>
      </c>
      <c r="D10" s="7"/>
      <c r="E10" s="7"/>
      <c r="F10" s="8"/>
      <c r="G10" s="9"/>
    </row>
    <row r="11" spans="1:7">
      <c r="A11" s="3" t="s">
        <v>96</v>
      </c>
      <c r="B11" s="3" t="s">
        <v>13</v>
      </c>
      <c r="D11" s="7"/>
      <c r="E11" s="7"/>
      <c r="F11" s="8"/>
      <c r="G11" s="9"/>
    </row>
    <row r="12" ht="13.8" spans="1:22">
      <c r="A12" s="3" t="s">
        <v>97</v>
      </c>
      <c r="B12" s="3" t="s">
        <v>14</v>
      </c>
      <c r="D12" s="7">
        <v>811</v>
      </c>
      <c r="E12" s="7">
        <v>900</v>
      </c>
      <c r="F12" s="7">
        <v>758</v>
      </c>
      <c r="G12" s="10">
        <v>825</v>
      </c>
      <c r="H12" s="11" t="s">
        <v>98</v>
      </c>
      <c r="I12" s="24">
        <f>ROUND(825/12,0)-1</f>
        <v>68</v>
      </c>
      <c r="J12" s="24">
        <f t="shared" ref="J12:T12" si="0">ROUND(825/12,0)</f>
        <v>69</v>
      </c>
      <c r="K12" s="24">
        <f t="shared" si="0"/>
        <v>69</v>
      </c>
      <c r="L12" s="24">
        <f>ROUND(825/12,0)-1</f>
        <v>68</v>
      </c>
      <c r="M12" s="24">
        <f t="shared" si="0"/>
        <v>69</v>
      </c>
      <c r="N12" s="24">
        <f t="shared" si="0"/>
        <v>69</v>
      </c>
      <c r="O12" s="24">
        <f>ROUND(825/12,0)-1</f>
        <v>68</v>
      </c>
      <c r="P12" s="24">
        <f t="shared" si="0"/>
        <v>69</v>
      </c>
      <c r="Q12" s="24">
        <f t="shared" si="0"/>
        <v>69</v>
      </c>
      <c r="R12" s="24">
        <f t="shared" si="0"/>
        <v>69</v>
      </c>
      <c r="S12" s="24">
        <f t="shared" si="0"/>
        <v>69</v>
      </c>
      <c r="T12" s="24">
        <f t="shared" si="0"/>
        <v>69</v>
      </c>
      <c r="U12" s="34">
        <f>50+479+918</f>
        <v>1447</v>
      </c>
      <c r="V12" s="37"/>
    </row>
    <row r="13" ht="13.8" spans="1:21">
      <c r="A13" s="3" t="s">
        <v>100</v>
      </c>
      <c r="B13" s="3" t="s">
        <v>15</v>
      </c>
      <c r="D13" s="7"/>
      <c r="E13" s="8">
        <v>0</v>
      </c>
      <c r="F13" s="8">
        <v>32</v>
      </c>
      <c r="G13" s="10">
        <v>0</v>
      </c>
      <c r="H13" s="11" t="s">
        <v>98</v>
      </c>
      <c r="I13" s="42"/>
      <c r="J13" s="42"/>
      <c r="K13" s="42"/>
      <c r="L13" s="25"/>
      <c r="M13" s="25"/>
      <c r="N13" s="25"/>
      <c r="O13" s="25"/>
      <c r="P13" s="25"/>
      <c r="Q13" s="42"/>
      <c r="R13" s="25"/>
      <c r="S13" s="25"/>
      <c r="T13" s="25"/>
      <c r="U13" s="34">
        <f>0+12+85</f>
        <v>97</v>
      </c>
    </row>
    <row r="14" spans="1:7">
      <c r="A14" s="3" t="s">
        <v>101</v>
      </c>
      <c r="B14" s="3" t="s">
        <v>16</v>
      </c>
      <c r="D14" s="7"/>
      <c r="E14" s="8"/>
      <c r="F14" s="8"/>
      <c r="G14" s="9"/>
    </row>
    <row r="15" ht="13.8" spans="1:21">
      <c r="A15" s="3" t="s">
        <v>102</v>
      </c>
      <c r="B15" s="3" t="s">
        <v>17</v>
      </c>
      <c r="D15" s="7">
        <v>395</v>
      </c>
      <c r="E15" s="7">
        <v>1210</v>
      </c>
      <c r="F15" s="7">
        <v>4270</v>
      </c>
      <c r="G15" s="10">
        <v>4655</v>
      </c>
      <c r="H15" s="11" t="s">
        <v>98</v>
      </c>
      <c r="I15" s="10">
        <v>250</v>
      </c>
      <c r="J15" s="10"/>
      <c r="K15" s="26">
        <v>3405</v>
      </c>
      <c r="L15" s="26"/>
      <c r="M15" s="26">
        <v>250</v>
      </c>
      <c r="N15" s="26"/>
      <c r="O15" s="26"/>
      <c r="P15" s="10"/>
      <c r="Q15" s="26">
        <v>250</v>
      </c>
      <c r="R15" s="26"/>
      <c r="S15" s="10">
        <v>500</v>
      </c>
      <c r="T15" s="10"/>
      <c r="U15" s="37"/>
    </row>
    <row r="16" spans="1:7">
      <c r="A16" s="12" t="s">
        <v>103</v>
      </c>
      <c r="B16" s="12" t="s">
        <v>18</v>
      </c>
      <c r="D16" s="7"/>
      <c r="E16" s="7"/>
      <c r="F16" s="8"/>
      <c r="G16" s="9"/>
    </row>
    <row r="17" spans="1:7">
      <c r="A17" s="12" t="s">
        <v>104</v>
      </c>
      <c r="B17" s="12" t="s">
        <v>19</v>
      </c>
      <c r="D17" s="7"/>
      <c r="E17" s="7"/>
      <c r="F17" s="8"/>
      <c r="G17" s="9"/>
    </row>
    <row r="18" spans="1:7">
      <c r="A18" s="12" t="s">
        <v>105</v>
      </c>
      <c r="B18" s="12" t="s">
        <v>20</v>
      </c>
      <c r="D18" s="7"/>
      <c r="E18" s="7"/>
      <c r="F18" s="8"/>
      <c r="G18" s="9"/>
    </row>
    <row r="19" spans="1:7">
      <c r="A19" s="12" t="s">
        <v>106</v>
      </c>
      <c r="B19" s="12" t="s">
        <v>21</v>
      </c>
      <c r="D19" s="7"/>
      <c r="E19" s="7"/>
      <c r="F19" s="8"/>
      <c r="G19" s="9"/>
    </row>
    <row r="20" spans="1:7">
      <c r="A20" s="12" t="s">
        <v>107</v>
      </c>
      <c r="B20" s="12" t="s">
        <v>22</v>
      </c>
      <c r="D20" s="7"/>
      <c r="E20" s="7"/>
      <c r="F20" s="8"/>
      <c r="G20" s="9"/>
    </row>
    <row r="21" spans="1:7">
      <c r="A21" s="12" t="s">
        <v>109</v>
      </c>
      <c r="B21" s="12" t="s">
        <v>23</v>
      </c>
      <c r="D21" s="7"/>
      <c r="E21" s="7"/>
      <c r="F21" s="8"/>
      <c r="G21" s="9"/>
    </row>
    <row r="22" spans="1:7">
      <c r="A22" s="13">
        <v>4990</v>
      </c>
      <c r="B22" s="12" t="s">
        <v>24</v>
      </c>
      <c r="D22" s="7"/>
      <c r="E22" s="7"/>
      <c r="F22" s="8"/>
      <c r="G22" s="9"/>
    </row>
    <row r="23" spans="1:7">
      <c r="A23" s="3"/>
      <c r="B23" s="3"/>
      <c r="D23" s="7"/>
      <c r="E23" s="7"/>
      <c r="F23" s="8"/>
      <c r="G23" s="9"/>
    </row>
    <row r="24" spans="3:20">
      <c r="C24" s="14" t="s">
        <v>25</v>
      </c>
      <c r="D24" s="16">
        <f>SUM(D10:D23)</f>
        <v>1206</v>
      </c>
      <c r="E24" s="16">
        <f>SUM(E10:E23)</f>
        <v>2110</v>
      </c>
      <c r="F24" s="16">
        <f>SUM(F10:F23)</f>
        <v>5060</v>
      </c>
      <c r="G24" s="16">
        <f>SUM(G10:G23)</f>
        <v>5480</v>
      </c>
      <c r="I24" s="43">
        <f t="shared" ref="I24:T24" si="1">SUM(I10:I23)</f>
        <v>318</v>
      </c>
      <c r="J24" s="43">
        <f t="shared" si="1"/>
        <v>69</v>
      </c>
      <c r="K24" s="43">
        <f t="shared" si="1"/>
        <v>3474</v>
      </c>
      <c r="L24" s="43">
        <f t="shared" si="1"/>
        <v>68</v>
      </c>
      <c r="M24" s="43">
        <f t="shared" si="1"/>
        <v>319</v>
      </c>
      <c r="N24" s="43">
        <f t="shared" si="1"/>
        <v>69</v>
      </c>
      <c r="O24" s="43">
        <f t="shared" si="1"/>
        <v>68</v>
      </c>
      <c r="P24" s="43">
        <f t="shared" si="1"/>
        <v>69</v>
      </c>
      <c r="Q24" s="43">
        <f t="shared" si="1"/>
        <v>319</v>
      </c>
      <c r="R24" s="43">
        <f t="shared" si="1"/>
        <v>69</v>
      </c>
      <c r="S24" s="43">
        <f t="shared" si="1"/>
        <v>569</v>
      </c>
      <c r="T24" s="43">
        <f t="shared" si="1"/>
        <v>69</v>
      </c>
    </row>
    <row r="25" spans="7:7">
      <c r="G25" s="9"/>
    </row>
    <row r="26" spans="1:7">
      <c r="A26" s="2">
        <v>40</v>
      </c>
      <c r="B26" s="6" t="s">
        <v>127</v>
      </c>
      <c r="C26" s="6" t="s">
        <v>26</v>
      </c>
      <c r="G26" s="9"/>
    </row>
    <row r="27" spans="7:7">
      <c r="G27" s="9"/>
    </row>
    <row r="28" spans="1:7">
      <c r="A28" s="3" t="s">
        <v>27</v>
      </c>
      <c r="B28" s="3" t="s">
        <v>28</v>
      </c>
      <c r="D28" s="7"/>
      <c r="E28" s="7"/>
      <c r="F28" s="8"/>
      <c r="G28" s="9"/>
    </row>
    <row r="29" spans="1:18">
      <c r="A29" s="12" t="s">
        <v>29</v>
      </c>
      <c r="B29" s="12" t="s">
        <v>30</v>
      </c>
      <c r="D29" s="7"/>
      <c r="E29" s="7"/>
      <c r="F29" s="8"/>
      <c r="G29" s="9"/>
      <c r="R29" s="49"/>
    </row>
    <row r="30" spans="1:18">
      <c r="A30" s="12" t="s">
        <v>31</v>
      </c>
      <c r="B30" s="12" t="s">
        <v>32</v>
      </c>
      <c r="D30" s="7"/>
      <c r="E30" s="7"/>
      <c r="F30" s="8"/>
      <c r="G30" s="9"/>
      <c r="R30" s="49"/>
    </row>
    <row r="31" spans="1:7">
      <c r="A31" s="13">
        <v>5115</v>
      </c>
      <c r="B31" s="12" t="s">
        <v>33</v>
      </c>
      <c r="D31" s="7"/>
      <c r="E31" s="7"/>
      <c r="F31" s="8"/>
      <c r="G31" s="9"/>
    </row>
    <row r="32" spans="1:7">
      <c r="A32" s="3" t="s">
        <v>34</v>
      </c>
      <c r="B32" s="3" t="s">
        <v>16</v>
      </c>
      <c r="D32" s="7"/>
      <c r="E32" s="7"/>
      <c r="F32" s="8"/>
      <c r="G32" s="9"/>
    </row>
    <row r="33" ht="13.8" spans="1:20">
      <c r="A33" s="3" t="s">
        <v>35</v>
      </c>
      <c r="B33" s="3" t="s">
        <v>36</v>
      </c>
      <c r="D33" s="7"/>
      <c r="E33" s="7"/>
      <c r="F33" s="7">
        <v>2000</v>
      </c>
      <c r="G33" s="10">
        <v>2275</v>
      </c>
      <c r="H33" s="11" t="s">
        <v>98</v>
      </c>
      <c r="I33" s="10"/>
      <c r="J33" s="10"/>
      <c r="K33" s="26">
        <v>2275</v>
      </c>
      <c r="L33" s="26"/>
      <c r="M33" s="26"/>
      <c r="N33" s="26"/>
      <c r="O33" s="26"/>
      <c r="P33" s="10"/>
      <c r="Q33" s="26"/>
      <c r="R33" s="26"/>
      <c r="S33" s="10"/>
      <c r="T33" s="10"/>
    </row>
    <row r="34" ht="13.8" spans="1:20">
      <c r="A34" s="3" t="s">
        <v>37</v>
      </c>
      <c r="B34" s="3" t="s">
        <v>38</v>
      </c>
      <c r="D34" s="7"/>
      <c r="E34" s="7"/>
      <c r="F34" s="8"/>
      <c r="G34" s="17">
        <v>0</v>
      </c>
      <c r="H34" s="11" t="s">
        <v>98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ht="13.8" spans="1:21">
      <c r="A35" s="3" t="s">
        <v>39</v>
      </c>
      <c r="B35" s="3" t="s">
        <v>40</v>
      </c>
      <c r="D35" s="7">
        <v>57</v>
      </c>
      <c r="E35" s="7">
        <v>250</v>
      </c>
      <c r="F35" s="8">
        <v>675</v>
      </c>
      <c r="G35" s="17">
        <v>600</v>
      </c>
      <c r="H35" s="11" t="s">
        <v>98</v>
      </c>
      <c r="I35" s="10"/>
      <c r="J35" s="10">
        <v>200</v>
      </c>
      <c r="K35" s="26"/>
      <c r="L35" s="26">
        <v>100</v>
      </c>
      <c r="M35" s="26">
        <v>50</v>
      </c>
      <c r="N35" s="26"/>
      <c r="O35" s="26">
        <v>100</v>
      </c>
      <c r="P35" s="26">
        <v>50</v>
      </c>
      <c r="Q35" s="26"/>
      <c r="R35" s="26">
        <v>100</v>
      </c>
      <c r="S35" s="26"/>
      <c r="T35" s="10"/>
      <c r="U35" s="37"/>
    </row>
    <row r="36" ht="13.8" spans="1:21">
      <c r="A36" s="3" t="s">
        <v>41</v>
      </c>
      <c r="B36" s="3" t="s">
        <v>42</v>
      </c>
      <c r="D36" s="7">
        <v>0</v>
      </c>
      <c r="E36" s="7">
        <v>1360</v>
      </c>
      <c r="F36" s="7">
        <v>840</v>
      </c>
      <c r="G36" s="17">
        <v>835</v>
      </c>
      <c r="H36" s="11" t="s">
        <v>98</v>
      </c>
      <c r="I36" s="10"/>
      <c r="J36" s="10"/>
      <c r="K36" s="26">
        <f>175+225+50</f>
        <v>450</v>
      </c>
      <c r="L36" s="26"/>
      <c r="M36" s="26"/>
      <c r="N36" s="26"/>
      <c r="O36" s="26"/>
      <c r="P36" s="26"/>
      <c r="Q36" s="26"/>
      <c r="R36" s="26"/>
      <c r="S36" s="26">
        <v>385</v>
      </c>
      <c r="T36" s="10"/>
      <c r="U36" s="37"/>
    </row>
    <row r="37" spans="1:7">
      <c r="A37" s="3" t="s">
        <v>43</v>
      </c>
      <c r="B37" s="3" t="s">
        <v>44</v>
      </c>
      <c r="D37" s="7"/>
      <c r="E37" s="8"/>
      <c r="F37" s="8"/>
      <c r="G37" s="39"/>
    </row>
    <row r="38" spans="1:7">
      <c r="A38" s="3" t="s">
        <v>45</v>
      </c>
      <c r="B38" s="3" t="s">
        <v>46</v>
      </c>
      <c r="D38" s="7"/>
      <c r="E38" s="8"/>
      <c r="F38" s="8"/>
      <c r="G38" s="9"/>
    </row>
    <row r="39" spans="1:20">
      <c r="A39" s="3" t="s">
        <v>47</v>
      </c>
      <c r="B39" s="3" t="s">
        <v>48</v>
      </c>
      <c r="D39" s="7">
        <v>21046</v>
      </c>
      <c r="E39" s="7">
        <v>20254</v>
      </c>
      <c r="F39" s="7">
        <v>20504</v>
      </c>
      <c r="G39" s="19"/>
      <c r="H39" s="1" t="s">
        <v>108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>
      <c r="A40" s="3" t="s">
        <v>49</v>
      </c>
      <c r="B40" s="3" t="s">
        <v>50</v>
      </c>
      <c r="D40" s="7">
        <v>0</v>
      </c>
      <c r="E40" s="7">
        <v>0</v>
      </c>
      <c r="F40" s="7"/>
      <c r="G40" s="10">
        <v>20504</v>
      </c>
      <c r="H40" s="1" t="s">
        <v>108</v>
      </c>
      <c r="I40" s="19">
        <f>ROUND(+$G40/12,0)-1</f>
        <v>1708</v>
      </c>
      <c r="J40" s="19">
        <f t="shared" ref="J40:T40" si="2">ROUND(+$G40/12,0)</f>
        <v>1709</v>
      </c>
      <c r="K40" s="19">
        <f t="shared" si="2"/>
        <v>1709</v>
      </c>
      <c r="L40" s="19">
        <f>ROUND(+$G40/12,0)-1</f>
        <v>1708</v>
      </c>
      <c r="M40" s="19">
        <f t="shared" si="2"/>
        <v>1709</v>
      </c>
      <c r="N40" s="19">
        <f t="shared" si="2"/>
        <v>1709</v>
      </c>
      <c r="O40" s="19">
        <f>ROUND(+$G40/12,0)-1</f>
        <v>1708</v>
      </c>
      <c r="P40" s="19">
        <f t="shared" si="2"/>
        <v>1709</v>
      </c>
      <c r="Q40" s="19">
        <f t="shared" si="2"/>
        <v>1709</v>
      </c>
      <c r="R40" s="19">
        <f>ROUND(+$G40/12,0)-1</f>
        <v>1708</v>
      </c>
      <c r="S40" s="19">
        <f t="shared" si="2"/>
        <v>1709</v>
      </c>
      <c r="T40" s="19">
        <f t="shared" si="2"/>
        <v>1709</v>
      </c>
    </row>
    <row r="41" spans="1:8">
      <c r="A41" s="3" t="s">
        <v>51</v>
      </c>
      <c r="B41" s="3" t="s">
        <v>52</v>
      </c>
      <c r="D41" s="7">
        <v>0</v>
      </c>
      <c r="E41" s="7">
        <v>0</v>
      </c>
      <c r="F41" s="7"/>
      <c r="G41" s="20">
        <f>ROUND(+G40*0.0775,0)</f>
        <v>1589</v>
      </c>
      <c r="H41" s="1" t="s">
        <v>108</v>
      </c>
    </row>
    <row r="42" spans="1:7">
      <c r="A42" s="3" t="s">
        <v>53</v>
      </c>
      <c r="B42" s="3" t="s">
        <v>54</v>
      </c>
      <c r="D42" s="7"/>
      <c r="E42" s="8"/>
      <c r="F42" s="8"/>
      <c r="G42" s="9"/>
    </row>
    <row r="43" ht="13.8" spans="1:21">
      <c r="A43" s="3" t="s">
        <v>55</v>
      </c>
      <c r="B43" s="3" t="s">
        <v>56</v>
      </c>
      <c r="D43" s="7">
        <v>895</v>
      </c>
      <c r="E43" s="7">
        <v>2100</v>
      </c>
      <c r="F43" s="7">
        <v>2340</v>
      </c>
      <c r="G43" s="10">
        <v>3930</v>
      </c>
      <c r="H43" s="11" t="s">
        <v>98</v>
      </c>
      <c r="I43" s="44">
        <v>200</v>
      </c>
      <c r="J43" s="44"/>
      <c r="K43" s="44">
        <v>450</v>
      </c>
      <c r="L43" s="44"/>
      <c r="M43" s="45"/>
      <c r="N43" s="44"/>
      <c r="O43" s="45">
        <v>1300</v>
      </c>
      <c r="P43" s="44"/>
      <c r="Q43" s="44">
        <v>1230</v>
      </c>
      <c r="R43" s="44">
        <v>450</v>
      </c>
      <c r="S43" s="44"/>
      <c r="T43" s="44">
        <v>300</v>
      </c>
      <c r="U43" s="37"/>
    </row>
    <row r="44" spans="1:20">
      <c r="A44" s="13">
        <v>5690</v>
      </c>
      <c r="B44" s="12" t="s">
        <v>57</v>
      </c>
      <c r="D44" s="7"/>
      <c r="E44" s="7"/>
      <c r="F44" s="7"/>
      <c r="G44" s="18"/>
      <c r="H44" s="11"/>
      <c r="I44" s="46"/>
      <c r="J44" s="47"/>
      <c r="K44" s="47"/>
      <c r="L44" s="46"/>
      <c r="M44" s="46"/>
      <c r="N44" s="46"/>
      <c r="O44" s="46"/>
      <c r="P44" s="46"/>
      <c r="Q44" s="47"/>
      <c r="R44" s="47"/>
      <c r="S44" s="46"/>
      <c r="T44" s="46" t="s">
        <v>128</v>
      </c>
    </row>
    <row r="45" spans="1:7">
      <c r="A45" s="3" t="s">
        <v>58</v>
      </c>
      <c r="B45" s="3" t="s">
        <v>59</v>
      </c>
      <c r="D45" s="7"/>
      <c r="E45" s="8"/>
      <c r="F45" s="8"/>
      <c r="G45" s="9"/>
    </row>
    <row r="46" spans="1:7">
      <c r="A46" s="12" t="s">
        <v>60</v>
      </c>
      <c r="B46" s="12" t="s">
        <v>61</v>
      </c>
      <c r="D46" s="7"/>
      <c r="E46" s="8"/>
      <c r="F46" s="8"/>
      <c r="G46" s="9"/>
    </row>
    <row r="47" spans="1:20">
      <c r="A47" s="3" t="s">
        <v>62</v>
      </c>
      <c r="B47" s="3" t="s">
        <v>63</v>
      </c>
      <c r="D47" s="7">
        <v>19</v>
      </c>
      <c r="E47" s="8">
        <v>50</v>
      </c>
      <c r="F47" s="8">
        <v>50</v>
      </c>
      <c r="G47" s="27">
        <v>50</v>
      </c>
      <c r="H47" s="1" t="s">
        <v>108</v>
      </c>
      <c r="I47">
        <v>3</v>
      </c>
      <c r="J47">
        <v>4</v>
      </c>
      <c r="K47">
        <v>5</v>
      </c>
      <c r="L47">
        <v>4</v>
      </c>
      <c r="M47">
        <v>4</v>
      </c>
      <c r="N47">
        <v>4</v>
      </c>
      <c r="O47">
        <v>4</v>
      </c>
      <c r="P47">
        <v>4</v>
      </c>
      <c r="Q47">
        <v>5</v>
      </c>
      <c r="R47">
        <v>4</v>
      </c>
      <c r="S47">
        <v>4</v>
      </c>
      <c r="T47">
        <v>5</v>
      </c>
    </row>
    <row r="48" spans="1:7">
      <c r="A48" s="12" t="s">
        <v>64</v>
      </c>
      <c r="B48" s="12" t="s">
        <v>65</v>
      </c>
      <c r="D48" s="7"/>
      <c r="E48" s="8"/>
      <c r="F48" s="8"/>
      <c r="G48" s="9"/>
    </row>
    <row r="49" spans="1:7">
      <c r="A49" s="12" t="s">
        <v>66</v>
      </c>
      <c r="B49" s="12" t="s">
        <v>67</v>
      </c>
      <c r="D49" s="7"/>
      <c r="E49" s="8"/>
      <c r="F49" s="8"/>
      <c r="G49" s="9"/>
    </row>
    <row r="50" ht="13.8" spans="1:21">
      <c r="A50" s="3" t="s">
        <v>68</v>
      </c>
      <c r="B50" s="3" t="s">
        <v>69</v>
      </c>
      <c r="D50" s="7">
        <v>301</v>
      </c>
      <c r="E50" s="8">
        <v>730</v>
      </c>
      <c r="F50" s="8">
        <v>650</v>
      </c>
      <c r="G50" s="27">
        <v>650</v>
      </c>
      <c r="H50" s="11" t="s">
        <v>98</v>
      </c>
      <c r="I50" s="44"/>
      <c r="J50" s="44">
        <v>175</v>
      </c>
      <c r="K50" s="44"/>
      <c r="L50" s="44">
        <v>75</v>
      </c>
      <c r="M50" s="48"/>
      <c r="N50" s="44">
        <v>75</v>
      </c>
      <c r="O50" s="44"/>
      <c r="P50" s="44">
        <v>75</v>
      </c>
      <c r="Q50" s="44">
        <v>175</v>
      </c>
      <c r="R50" s="44"/>
      <c r="S50" s="44">
        <v>75</v>
      </c>
      <c r="T50" s="44"/>
      <c r="U50" s="37"/>
    </row>
    <row r="51" ht="13.8" spans="1:20">
      <c r="A51" s="3" t="s">
        <v>70</v>
      </c>
      <c r="B51" s="3" t="s">
        <v>71</v>
      </c>
      <c r="D51" s="7">
        <v>4</v>
      </c>
      <c r="E51" s="8">
        <v>50</v>
      </c>
      <c r="F51" s="8">
        <v>50</v>
      </c>
      <c r="G51" s="40">
        <v>50</v>
      </c>
      <c r="H51" s="11" t="s">
        <v>98</v>
      </c>
      <c r="I51" s="48">
        <v>3</v>
      </c>
      <c r="J51" s="48">
        <v>4</v>
      </c>
      <c r="K51" s="48">
        <v>5</v>
      </c>
      <c r="L51" s="48">
        <v>4</v>
      </c>
      <c r="M51" s="48">
        <v>4</v>
      </c>
      <c r="N51" s="48">
        <v>4</v>
      </c>
      <c r="O51" s="48">
        <v>4</v>
      </c>
      <c r="P51" s="48">
        <v>4</v>
      </c>
      <c r="Q51" s="48">
        <v>5</v>
      </c>
      <c r="R51" s="48">
        <v>4</v>
      </c>
      <c r="S51" s="48">
        <v>4</v>
      </c>
      <c r="T51" s="48">
        <v>5</v>
      </c>
    </row>
    <row r="52" spans="1:20">
      <c r="A52" s="3" t="s">
        <v>72</v>
      </c>
      <c r="B52" s="3" t="s">
        <v>73</v>
      </c>
      <c r="D52" s="7">
        <v>255</v>
      </c>
      <c r="E52" s="7">
        <v>480</v>
      </c>
      <c r="F52" s="7">
        <v>700</v>
      </c>
      <c r="G52" s="41">
        <v>676</v>
      </c>
      <c r="H52" s="1" t="s">
        <v>108</v>
      </c>
      <c r="I52" s="48">
        <v>23</v>
      </c>
      <c r="J52" s="48">
        <v>23</v>
      </c>
      <c r="K52" s="48">
        <v>23</v>
      </c>
      <c r="L52" s="48">
        <f>23+288</f>
        <v>311</v>
      </c>
      <c r="M52" s="48">
        <v>23</v>
      </c>
      <c r="N52" s="48">
        <v>23</v>
      </c>
      <c r="O52" s="48">
        <v>23</v>
      </c>
      <c r="P52" s="48">
        <f>23+80</f>
        <v>103</v>
      </c>
      <c r="Q52" s="48">
        <v>31</v>
      </c>
      <c r="R52" s="48">
        <v>31</v>
      </c>
      <c r="S52" s="48">
        <v>31</v>
      </c>
      <c r="T52" s="48">
        <v>31</v>
      </c>
    </row>
    <row r="53" spans="1:7">
      <c r="A53" s="3"/>
      <c r="B53" s="3"/>
      <c r="D53" s="7"/>
      <c r="E53" s="7"/>
      <c r="F53" s="7"/>
      <c r="G53" s="9"/>
    </row>
    <row r="54" spans="3:20">
      <c r="C54" s="14" t="s">
        <v>74</v>
      </c>
      <c r="D54" s="16">
        <f>SUM(D28:D53)</f>
        <v>22577</v>
      </c>
      <c r="E54" s="16">
        <f>SUM(E28:E53)</f>
        <v>25274</v>
      </c>
      <c r="F54" s="16">
        <f>SUM(F28:F53)</f>
        <v>27809</v>
      </c>
      <c r="G54" s="16">
        <f>SUM(G28:G53)</f>
        <v>31159</v>
      </c>
      <c r="I54" s="43">
        <f t="shared" ref="I54:T54" si="3">SUM(I28:I53)</f>
        <v>1937</v>
      </c>
      <c r="J54" s="43">
        <f t="shared" si="3"/>
        <v>2115</v>
      </c>
      <c r="K54" s="43">
        <f t="shared" si="3"/>
        <v>4917</v>
      </c>
      <c r="L54" s="43">
        <f t="shared" si="3"/>
        <v>2202</v>
      </c>
      <c r="M54" s="43">
        <f t="shared" si="3"/>
        <v>1790</v>
      </c>
      <c r="N54" s="43">
        <f t="shared" si="3"/>
        <v>1815</v>
      </c>
      <c r="O54" s="43">
        <f t="shared" si="3"/>
        <v>3139</v>
      </c>
      <c r="P54" s="43">
        <f t="shared" si="3"/>
        <v>1945</v>
      </c>
      <c r="Q54" s="43">
        <f t="shared" si="3"/>
        <v>3155</v>
      </c>
      <c r="R54" s="43">
        <f t="shared" si="3"/>
        <v>2297</v>
      </c>
      <c r="S54" s="43">
        <f t="shared" si="3"/>
        <v>2208</v>
      </c>
      <c r="T54" s="43">
        <f t="shared" si="3"/>
        <v>2050</v>
      </c>
    </row>
    <row r="55" spans="4:6">
      <c r="D55" s="7"/>
      <c r="E55" s="7"/>
      <c r="F55" s="8"/>
    </row>
    <row r="56" ht="13.2" spans="2:20">
      <c r="B56" s="21" t="s">
        <v>75</v>
      </c>
      <c r="D56" s="22">
        <f t="shared" ref="D56:G56" si="4">+D24-D54</f>
        <v>-21371</v>
      </c>
      <c r="E56" s="22">
        <f t="shared" si="4"/>
        <v>-23164</v>
      </c>
      <c r="F56" s="22">
        <f t="shared" si="4"/>
        <v>-22749</v>
      </c>
      <c r="G56" s="22">
        <f t="shared" si="4"/>
        <v>-25679</v>
      </c>
      <c r="I56" s="33">
        <f t="shared" ref="I56:T56" si="5">+I24-I54</f>
        <v>-1619</v>
      </c>
      <c r="J56" s="33">
        <f t="shared" si="5"/>
        <v>-2046</v>
      </c>
      <c r="K56" s="33">
        <f t="shared" si="5"/>
        <v>-1443</v>
      </c>
      <c r="L56" s="33">
        <f t="shared" si="5"/>
        <v>-2134</v>
      </c>
      <c r="M56" s="33">
        <f t="shared" si="5"/>
        <v>-1471</v>
      </c>
      <c r="N56" s="33">
        <f t="shared" si="5"/>
        <v>-1746</v>
      </c>
      <c r="O56" s="33">
        <f t="shared" si="5"/>
        <v>-3071</v>
      </c>
      <c r="P56" s="33">
        <f t="shared" si="5"/>
        <v>-1876</v>
      </c>
      <c r="Q56" s="33">
        <f t="shared" si="5"/>
        <v>-2836</v>
      </c>
      <c r="R56" s="33">
        <f t="shared" si="5"/>
        <v>-2228</v>
      </c>
      <c r="S56" s="33">
        <f t="shared" si="5"/>
        <v>-1639</v>
      </c>
      <c r="T56" s="33">
        <f t="shared" si="5"/>
        <v>-1981</v>
      </c>
    </row>
    <row r="57" spans="4:6">
      <c r="D57" s="7"/>
      <c r="E57" s="7"/>
      <c r="F57" s="8"/>
    </row>
    <row r="58" spans="4:6">
      <c r="D58" s="7"/>
      <c r="E58" s="7"/>
      <c r="F58" s="8"/>
    </row>
    <row r="59" spans="4:6">
      <c r="D59" s="7"/>
      <c r="E59" s="7"/>
      <c r="F59" s="7"/>
    </row>
    <row r="60" spans="4:6">
      <c r="D60" s="7"/>
      <c r="E60" s="7"/>
      <c r="F60" s="8"/>
    </row>
    <row r="61" spans="4:6">
      <c r="D61" s="7"/>
      <c r="E61" s="7"/>
      <c r="F61" s="8"/>
    </row>
    <row r="62" spans="4:6">
      <c r="D62" s="7"/>
      <c r="E62" s="7"/>
      <c r="F62" s="8"/>
    </row>
    <row r="63" spans="4:6">
      <c r="D63" s="7"/>
      <c r="E63" s="7"/>
      <c r="F63" s="8"/>
    </row>
    <row r="64" spans="4:6">
      <c r="D64" s="15"/>
      <c r="E64" s="15"/>
      <c r="F64" s="15"/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H33 H34 H15" unlockedFormula="1"/>
    <ignoredError sqref="A19:A21 A17:A18 A37:A43 A27:A30 A9:A16 A32:A36 A45:A52 A23:A25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3"/>
  <sheetViews>
    <sheetView workbookViewId="0">
      <pane ySplit="7" topLeftCell="A41" activePane="bottomLeft" state="frozen"/>
      <selection/>
      <selection pane="bottomLeft" activeCell="I4" sqref="I4"/>
    </sheetView>
  </sheetViews>
  <sheetFormatPr defaultColWidth="9" defaultRowHeight="12.6"/>
  <cols>
    <col min="1" max="1" width="7.81481481481481" customWidth="1"/>
    <col min="2" max="2" width="25" customWidth="1"/>
    <col min="3" max="7" width="11.3611111111111" customWidth="1"/>
    <col min="8" max="8" width="11.3611111111111" style="1" customWidth="1"/>
    <col min="9" max="20" width="8.36111111111111" customWidth="1"/>
    <col min="21" max="21" width="9.62962962962963" customWidth="1"/>
  </cols>
  <sheetData>
    <row r="1" spans="4:14">
      <c r="D1" s="2" t="s">
        <v>0</v>
      </c>
      <c r="N1" s="2" t="s">
        <v>0</v>
      </c>
    </row>
    <row r="2" spans="1:14">
      <c r="A2" s="3"/>
      <c r="D2" s="2" t="s">
        <v>1</v>
      </c>
      <c r="G2" s="4"/>
      <c r="N2" s="2" t="s">
        <v>76</v>
      </c>
    </row>
    <row r="3" spans="1:14">
      <c r="A3" s="3"/>
      <c r="D3" s="2" t="s">
        <v>129</v>
      </c>
      <c r="G3" s="4"/>
      <c r="N3" s="2" t="s">
        <v>129</v>
      </c>
    </row>
    <row r="4" spans="9:9">
      <c r="I4" t="s">
        <v>130</v>
      </c>
    </row>
    <row r="5" spans="4:20">
      <c r="D5" s="5"/>
      <c r="E5" s="5"/>
      <c r="F5" s="5"/>
      <c r="G5" s="5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8">
      <c r="A6" s="4" t="s">
        <v>3</v>
      </c>
      <c r="D6" s="5">
        <v>2021</v>
      </c>
      <c r="E6" s="5"/>
      <c r="F6" s="5">
        <v>2022</v>
      </c>
      <c r="G6" s="5">
        <v>2023</v>
      </c>
      <c r="H6" s="5" t="s">
        <v>79</v>
      </c>
    </row>
    <row r="7" spans="1:20">
      <c r="A7" s="4" t="s">
        <v>4</v>
      </c>
      <c r="B7" s="4" t="s">
        <v>5</v>
      </c>
      <c r="C7" s="4" t="s">
        <v>6</v>
      </c>
      <c r="D7" s="5" t="s">
        <v>7</v>
      </c>
      <c r="E7" s="5" t="s">
        <v>8</v>
      </c>
      <c r="F7" s="5" t="s">
        <v>8</v>
      </c>
      <c r="G7" s="5" t="s">
        <v>8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5" t="s">
        <v>86</v>
      </c>
      <c r="O7" s="5" t="s">
        <v>87</v>
      </c>
      <c r="P7" s="5" t="s">
        <v>88</v>
      </c>
      <c r="Q7" s="5" t="s">
        <v>89</v>
      </c>
      <c r="R7" s="5" t="s">
        <v>90</v>
      </c>
      <c r="S7" s="5" t="s">
        <v>91</v>
      </c>
      <c r="T7" s="5" t="s">
        <v>92</v>
      </c>
    </row>
    <row r="8" spans="1:20">
      <c r="A8" s="2">
        <v>50</v>
      </c>
      <c r="B8" s="6" t="s">
        <v>131</v>
      </c>
      <c r="C8" s="6" t="s">
        <v>11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9:20"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>
      <c r="A10" s="3" t="s">
        <v>95</v>
      </c>
      <c r="B10" s="3" t="s">
        <v>12</v>
      </c>
      <c r="D10" s="7"/>
      <c r="E10" s="7"/>
      <c r="F10" s="8"/>
      <c r="G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>
      <c r="A11" s="3" t="s">
        <v>96</v>
      </c>
      <c r="B11" s="3" t="s">
        <v>13</v>
      </c>
      <c r="D11" s="7"/>
      <c r="E11" s="7"/>
      <c r="F11" s="8"/>
      <c r="G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13.8" spans="1:22">
      <c r="A12" s="3" t="s">
        <v>97</v>
      </c>
      <c r="B12" s="3" t="s">
        <v>14</v>
      </c>
      <c r="D12" s="7">
        <v>0</v>
      </c>
      <c r="E12" s="8">
        <v>1000</v>
      </c>
      <c r="F12" s="8">
        <v>609</v>
      </c>
      <c r="G12" s="10">
        <v>800</v>
      </c>
      <c r="H12" s="11" t="s">
        <v>98</v>
      </c>
      <c r="I12" s="24"/>
      <c r="J12" s="24"/>
      <c r="K12" s="24">
        <v>100</v>
      </c>
      <c r="L12" s="24">
        <v>100</v>
      </c>
      <c r="M12" s="24"/>
      <c r="N12" s="25">
        <v>100</v>
      </c>
      <c r="O12" s="25">
        <f>(500+100)/3</f>
        <v>200</v>
      </c>
      <c r="P12" s="24"/>
      <c r="Q12" s="25">
        <v>100</v>
      </c>
      <c r="R12" s="25">
        <v>100</v>
      </c>
      <c r="S12" s="25">
        <v>100</v>
      </c>
      <c r="T12" s="24"/>
      <c r="U12" s="34"/>
      <c r="V12" s="35"/>
    </row>
    <row r="13" ht="13.8" spans="1:22">
      <c r="A13" s="3" t="s">
        <v>100</v>
      </c>
      <c r="B13" s="3" t="s">
        <v>15</v>
      </c>
      <c r="D13" s="7">
        <v>0</v>
      </c>
      <c r="E13" s="7">
        <v>3000</v>
      </c>
      <c r="F13" s="7">
        <v>3873</v>
      </c>
      <c r="G13" s="10">
        <v>2000</v>
      </c>
      <c r="H13" s="11" t="s">
        <v>98</v>
      </c>
      <c r="I13" s="24"/>
      <c r="J13" s="24"/>
      <c r="K13" s="24"/>
      <c r="L13" s="25">
        <v>100</v>
      </c>
      <c r="M13" s="25">
        <v>300</v>
      </c>
      <c r="N13" s="25">
        <v>600</v>
      </c>
      <c r="O13" s="25">
        <v>200</v>
      </c>
      <c r="P13" s="25"/>
      <c r="Q13" s="24">
        <v>200</v>
      </c>
      <c r="R13" s="25">
        <v>500</v>
      </c>
      <c r="S13" s="25">
        <v>100</v>
      </c>
      <c r="T13" s="25"/>
      <c r="U13" s="36"/>
      <c r="V13" s="35"/>
    </row>
    <row r="14" spans="1:20">
      <c r="A14" s="3" t="s">
        <v>101</v>
      </c>
      <c r="B14" s="3" t="s">
        <v>16</v>
      </c>
      <c r="D14" s="7"/>
      <c r="E14" s="8"/>
      <c r="F14" s="8"/>
      <c r="G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13.8" spans="1:20">
      <c r="A15" s="3" t="s">
        <v>102</v>
      </c>
      <c r="B15" s="3" t="s">
        <v>17</v>
      </c>
      <c r="D15" s="7">
        <v>0</v>
      </c>
      <c r="E15" s="7">
        <v>69100</v>
      </c>
      <c r="F15" s="7">
        <v>48790</v>
      </c>
      <c r="G15" s="10">
        <v>48058</v>
      </c>
      <c r="H15" s="11" t="s">
        <v>98</v>
      </c>
      <c r="I15" s="10"/>
      <c r="J15" s="10"/>
      <c r="K15" s="26">
        <v>7582</v>
      </c>
      <c r="L15" s="26">
        <v>7582</v>
      </c>
      <c r="M15" s="26"/>
      <c r="N15" s="26">
        <v>17730</v>
      </c>
      <c r="O15" s="26"/>
      <c r="P15" s="10"/>
      <c r="Q15" s="26"/>
      <c r="R15" s="26">
        <v>7582</v>
      </c>
      <c r="S15" s="10">
        <v>7582</v>
      </c>
      <c r="T15" s="10"/>
    </row>
    <row r="16" spans="1:20">
      <c r="A16" s="12" t="s">
        <v>103</v>
      </c>
      <c r="B16" s="12" t="s">
        <v>18</v>
      </c>
      <c r="D16" s="7"/>
      <c r="E16" s="7"/>
      <c r="F16" s="7"/>
      <c r="G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>
      <c r="A17" s="12" t="s">
        <v>104</v>
      </c>
      <c r="B17" s="12" t="s">
        <v>19</v>
      </c>
      <c r="D17" s="7"/>
      <c r="E17" s="7"/>
      <c r="F17" s="7"/>
      <c r="G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>
      <c r="A18" s="12" t="s">
        <v>105</v>
      </c>
      <c r="B18" s="12" t="s">
        <v>20</v>
      </c>
      <c r="D18" s="7"/>
      <c r="E18" s="7"/>
      <c r="F18" s="7"/>
      <c r="G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>
      <c r="A19" s="12" t="s">
        <v>106</v>
      </c>
      <c r="B19" s="12" t="s">
        <v>21</v>
      </c>
      <c r="D19" s="7"/>
      <c r="E19" s="7"/>
      <c r="F19" s="7"/>
      <c r="G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>
      <c r="A20" s="12" t="s">
        <v>107</v>
      </c>
      <c r="B20" s="12" t="s">
        <v>22</v>
      </c>
      <c r="D20" s="7"/>
      <c r="E20" s="7"/>
      <c r="F20" s="8"/>
      <c r="G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>
      <c r="A21" s="12" t="s">
        <v>109</v>
      </c>
      <c r="B21" s="12" t="s">
        <v>23</v>
      </c>
      <c r="D21" s="7"/>
      <c r="E21" s="7"/>
      <c r="F21" s="8"/>
      <c r="G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>
      <c r="A22" s="13">
        <v>4990</v>
      </c>
      <c r="B22" s="12" t="s">
        <v>24</v>
      </c>
      <c r="D22" s="7"/>
      <c r="E22" s="7"/>
      <c r="F22" s="8"/>
      <c r="G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>
      <c r="A23" s="3"/>
      <c r="B23" s="3"/>
      <c r="D23" s="7"/>
      <c r="E23" s="7"/>
      <c r="F23" s="8"/>
      <c r="G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3:20">
      <c r="C24" s="14" t="s">
        <v>25</v>
      </c>
      <c r="D24" s="15">
        <f>SUM(D10:D23)</f>
        <v>0</v>
      </c>
      <c r="E24" s="15">
        <f>SUM(E10:E23)</f>
        <v>73100</v>
      </c>
      <c r="F24" s="15">
        <f>SUM(F10:F23)</f>
        <v>53272</v>
      </c>
      <c r="G24" s="16">
        <f>SUM(G10:G23)</f>
        <v>50858</v>
      </c>
      <c r="I24" s="20">
        <f t="shared" ref="I24:T24" si="0">SUM(I10:I23)</f>
        <v>0</v>
      </c>
      <c r="J24" s="20">
        <f t="shared" si="0"/>
        <v>0</v>
      </c>
      <c r="K24" s="20">
        <f t="shared" si="0"/>
        <v>7682</v>
      </c>
      <c r="L24" s="20">
        <f t="shared" si="0"/>
        <v>7782</v>
      </c>
      <c r="M24" s="20">
        <f t="shared" si="0"/>
        <v>300</v>
      </c>
      <c r="N24" s="20">
        <f t="shared" si="0"/>
        <v>18430</v>
      </c>
      <c r="O24" s="20">
        <f t="shared" si="0"/>
        <v>400</v>
      </c>
      <c r="P24" s="20">
        <f t="shared" si="0"/>
        <v>0</v>
      </c>
      <c r="Q24" s="20">
        <f t="shared" si="0"/>
        <v>300</v>
      </c>
      <c r="R24" s="20">
        <f t="shared" si="0"/>
        <v>8182</v>
      </c>
      <c r="S24" s="20">
        <f t="shared" si="0"/>
        <v>7782</v>
      </c>
      <c r="T24" s="20">
        <f t="shared" si="0"/>
        <v>0</v>
      </c>
    </row>
    <row r="25" spans="7:20">
      <c r="G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>
      <c r="A26" s="2">
        <v>50</v>
      </c>
      <c r="B26" s="6" t="s">
        <v>131</v>
      </c>
      <c r="C26" s="6" t="s">
        <v>26</v>
      </c>
      <c r="G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7:20">
      <c r="G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>
      <c r="A28" s="3" t="s">
        <v>27</v>
      </c>
      <c r="B28" s="3" t="s">
        <v>28</v>
      </c>
      <c r="D28" s="7"/>
      <c r="E28" s="7"/>
      <c r="F28" s="8"/>
      <c r="G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>
      <c r="A29" s="3" t="s">
        <v>29</v>
      </c>
      <c r="B29" s="3" t="s">
        <v>30</v>
      </c>
      <c r="D29" s="7"/>
      <c r="E29" s="7"/>
      <c r="F29" s="8"/>
      <c r="G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ht="13.8" spans="1:20">
      <c r="A30" s="3" t="s">
        <v>31</v>
      </c>
      <c r="B30" s="3" t="s">
        <v>32</v>
      </c>
      <c r="D30" s="7">
        <v>0</v>
      </c>
      <c r="E30" s="8">
        <v>400</v>
      </c>
      <c r="F30" s="8">
        <v>448</v>
      </c>
      <c r="G30" s="17">
        <f>(G12+G13)*0.1</f>
        <v>280</v>
      </c>
      <c r="H30" s="11" t="s">
        <v>98</v>
      </c>
      <c r="I30" s="27"/>
      <c r="J30" s="27"/>
      <c r="K30" s="27"/>
      <c r="L30" s="27"/>
      <c r="M30" s="27"/>
      <c r="N30" s="27"/>
      <c r="O30" s="28">
        <f>+G30*0.5</f>
        <v>140</v>
      </c>
      <c r="P30" s="27"/>
      <c r="Q30" s="27"/>
      <c r="R30" s="27"/>
      <c r="S30" s="27"/>
      <c r="T30" s="28">
        <f>+G30*0.5</f>
        <v>140</v>
      </c>
    </row>
    <row r="31" spans="1:20">
      <c r="A31" s="13">
        <v>5115</v>
      </c>
      <c r="B31" s="12" t="s">
        <v>33</v>
      </c>
      <c r="D31" s="7"/>
      <c r="E31" s="8"/>
      <c r="F31" s="8"/>
      <c r="G31" s="18"/>
      <c r="H31" s="11"/>
      <c r="I31" s="18"/>
      <c r="J31" s="18"/>
      <c r="K31" s="18"/>
      <c r="L31" s="18"/>
      <c r="M31" s="18"/>
      <c r="N31" s="18"/>
      <c r="O31" s="29"/>
      <c r="P31" s="18"/>
      <c r="Q31" s="18"/>
      <c r="R31" s="18"/>
      <c r="S31" s="18"/>
      <c r="T31" s="29"/>
    </row>
    <row r="32" spans="1:20">
      <c r="A32" s="3" t="s">
        <v>34</v>
      </c>
      <c r="B32" s="3" t="s">
        <v>16</v>
      </c>
      <c r="D32" s="7"/>
      <c r="E32" s="8"/>
      <c r="F32" s="8"/>
      <c r="G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ht="13.8" spans="1:21">
      <c r="A33" s="3" t="s">
        <v>35</v>
      </c>
      <c r="B33" s="3" t="s">
        <v>132</v>
      </c>
      <c r="D33" s="7">
        <v>0</v>
      </c>
      <c r="E33" s="7">
        <v>54123</v>
      </c>
      <c r="F33" s="7">
        <v>37630</v>
      </c>
      <c r="G33" s="10">
        <v>38900</v>
      </c>
      <c r="H33" s="11" t="s">
        <v>98</v>
      </c>
      <c r="I33" s="10"/>
      <c r="J33" s="10"/>
      <c r="K33" s="26">
        <v>6100</v>
      </c>
      <c r="L33" s="26">
        <v>6100</v>
      </c>
      <c r="M33" s="26"/>
      <c r="N33" s="26">
        <v>14500</v>
      </c>
      <c r="O33" s="26"/>
      <c r="P33" s="10"/>
      <c r="Q33" s="26">
        <v>6100</v>
      </c>
      <c r="R33" s="26">
        <v>6100</v>
      </c>
      <c r="S33" s="10"/>
      <c r="T33" s="10"/>
      <c r="U33" s="37"/>
    </row>
    <row r="34" ht="13.8" spans="1:20">
      <c r="A34" s="3" t="s">
        <v>37</v>
      </c>
      <c r="B34" s="3" t="s">
        <v>38</v>
      </c>
      <c r="D34" s="7">
        <v>0</v>
      </c>
      <c r="E34" s="7">
        <v>0</v>
      </c>
      <c r="F34" s="7">
        <v>0</v>
      </c>
      <c r="G34" s="17">
        <v>500</v>
      </c>
      <c r="H34" s="11" t="s">
        <v>98</v>
      </c>
      <c r="I34" s="10"/>
      <c r="J34" s="10"/>
      <c r="K34" s="10">
        <v>100</v>
      </c>
      <c r="L34" s="10">
        <v>100</v>
      </c>
      <c r="M34" s="10"/>
      <c r="N34" s="10">
        <v>100</v>
      </c>
      <c r="O34" s="10"/>
      <c r="P34" s="10"/>
      <c r="Q34" s="10">
        <v>100</v>
      </c>
      <c r="R34" s="10">
        <v>100</v>
      </c>
      <c r="S34" s="10"/>
      <c r="T34" s="10"/>
    </row>
    <row r="35" ht="13.8" spans="1:21">
      <c r="A35" s="3" t="s">
        <v>39</v>
      </c>
      <c r="B35" s="3" t="s">
        <v>40</v>
      </c>
      <c r="D35" s="7">
        <v>0</v>
      </c>
      <c r="E35" s="7">
        <v>3250</v>
      </c>
      <c r="F35" s="7">
        <v>1650</v>
      </c>
      <c r="G35" s="17">
        <v>2095</v>
      </c>
      <c r="H35" s="11" t="s">
        <v>98</v>
      </c>
      <c r="I35" s="10"/>
      <c r="J35" s="10">
        <v>395</v>
      </c>
      <c r="K35" s="26">
        <v>395</v>
      </c>
      <c r="L35" s="26"/>
      <c r="M35" s="26"/>
      <c r="N35" s="26">
        <v>515</v>
      </c>
      <c r="O35" s="26"/>
      <c r="P35" s="26">
        <v>395</v>
      </c>
      <c r="Q35" s="26">
        <v>395</v>
      </c>
      <c r="R35" s="26"/>
      <c r="S35" s="26"/>
      <c r="T35" s="10"/>
      <c r="U35" s="37"/>
    </row>
    <row r="36" ht="13.8" spans="1:21">
      <c r="A36" s="3" t="s">
        <v>41</v>
      </c>
      <c r="B36" s="3" t="s">
        <v>42</v>
      </c>
      <c r="D36" s="7">
        <v>116</v>
      </c>
      <c r="E36" s="7">
        <v>650</v>
      </c>
      <c r="F36" s="7">
        <v>360</v>
      </c>
      <c r="G36" s="17">
        <f>2570+1500</f>
        <v>4070</v>
      </c>
      <c r="H36" s="11" t="s">
        <v>98</v>
      </c>
      <c r="I36" s="10"/>
      <c r="J36" s="10"/>
      <c r="K36" s="26">
        <v>460</v>
      </c>
      <c r="L36" s="26">
        <v>460</v>
      </c>
      <c r="M36" s="26"/>
      <c r="N36" s="26">
        <v>730</v>
      </c>
      <c r="O36" s="26">
        <v>1500</v>
      </c>
      <c r="P36" s="26"/>
      <c r="Q36" s="26">
        <v>460</v>
      </c>
      <c r="R36" s="26">
        <v>460</v>
      </c>
      <c r="S36" s="26"/>
      <c r="T36" s="10"/>
      <c r="U36" s="37"/>
    </row>
    <row r="37" spans="1:20">
      <c r="A37" s="3" t="s">
        <v>43</v>
      </c>
      <c r="B37" s="3" t="s">
        <v>44</v>
      </c>
      <c r="D37" s="7"/>
      <c r="E37" s="8"/>
      <c r="F37" s="8"/>
      <c r="G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3" t="s">
        <v>45</v>
      </c>
      <c r="B38" s="3" t="s">
        <v>46</v>
      </c>
      <c r="D38" s="7"/>
      <c r="E38" s="8"/>
      <c r="F38" s="8"/>
      <c r="G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3" t="s">
        <v>47</v>
      </c>
      <c r="B39" s="3" t="s">
        <v>48</v>
      </c>
      <c r="D39" s="7"/>
      <c r="E39" s="8"/>
      <c r="F39" s="8"/>
      <c r="G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3" t="s">
        <v>49</v>
      </c>
      <c r="B40" s="3" t="s">
        <v>50</v>
      </c>
      <c r="D40" s="7">
        <v>21141</v>
      </c>
      <c r="E40" s="7">
        <f>(1667*12)*1.0125</f>
        <v>20254.05</v>
      </c>
      <c r="F40" s="7">
        <v>20752</v>
      </c>
      <c r="G40" s="19">
        <f>(800*12)+1500</f>
        <v>11100</v>
      </c>
      <c r="H40" s="1" t="s">
        <v>108</v>
      </c>
      <c r="I40" s="30">
        <f>+$G40/12</f>
        <v>925</v>
      </c>
      <c r="J40" s="30">
        <f t="shared" ref="J40:T41" si="1">+$G40/12</f>
        <v>925</v>
      </c>
      <c r="K40" s="30">
        <f t="shared" si="1"/>
        <v>925</v>
      </c>
      <c r="L40" s="30">
        <f t="shared" si="1"/>
        <v>925</v>
      </c>
      <c r="M40" s="30">
        <f t="shared" si="1"/>
        <v>925</v>
      </c>
      <c r="N40" s="30">
        <f t="shared" si="1"/>
        <v>925</v>
      </c>
      <c r="O40" s="30">
        <f t="shared" si="1"/>
        <v>925</v>
      </c>
      <c r="P40" s="30">
        <f t="shared" si="1"/>
        <v>925</v>
      </c>
      <c r="Q40" s="30">
        <f t="shared" si="1"/>
        <v>925</v>
      </c>
      <c r="R40" s="30">
        <f t="shared" si="1"/>
        <v>925</v>
      </c>
      <c r="S40" s="30">
        <f t="shared" si="1"/>
        <v>925</v>
      </c>
      <c r="T40" s="30">
        <f t="shared" si="1"/>
        <v>925</v>
      </c>
    </row>
    <row r="41" spans="1:20">
      <c r="A41" s="3" t="s">
        <v>51</v>
      </c>
      <c r="B41" s="3" t="s">
        <v>52</v>
      </c>
      <c r="D41" s="7">
        <v>1617</v>
      </c>
      <c r="E41" s="20">
        <f>ROUND(E40*0.0765,0)</f>
        <v>1549</v>
      </c>
      <c r="F41" s="20">
        <f>ROUND(F40*0.0765,0)</f>
        <v>1588</v>
      </c>
      <c r="G41" s="20">
        <f>ROUND(G40*0.0765,0)</f>
        <v>849</v>
      </c>
      <c r="H41" s="1" t="s">
        <v>108</v>
      </c>
      <c r="I41" s="30">
        <f>+$G41/12</f>
        <v>70.75</v>
      </c>
      <c r="J41" s="30">
        <f t="shared" si="1"/>
        <v>70.75</v>
      </c>
      <c r="K41" s="30">
        <f t="shared" si="1"/>
        <v>70.75</v>
      </c>
      <c r="L41" s="30">
        <f t="shared" si="1"/>
        <v>70.75</v>
      </c>
      <c r="M41" s="30">
        <f t="shared" si="1"/>
        <v>70.75</v>
      </c>
      <c r="N41" s="30">
        <f t="shared" si="1"/>
        <v>70.75</v>
      </c>
      <c r="O41" s="30">
        <f t="shared" si="1"/>
        <v>70.75</v>
      </c>
      <c r="P41" s="30">
        <f t="shared" si="1"/>
        <v>70.75</v>
      </c>
      <c r="Q41" s="30">
        <f t="shared" si="1"/>
        <v>70.75</v>
      </c>
      <c r="R41" s="30">
        <f t="shared" si="1"/>
        <v>70.75</v>
      </c>
      <c r="S41" s="30">
        <f t="shared" si="1"/>
        <v>70.75</v>
      </c>
      <c r="T41" s="30">
        <f t="shared" si="1"/>
        <v>70.75</v>
      </c>
    </row>
    <row r="42" spans="1:20">
      <c r="A42" s="3" t="s">
        <v>53</v>
      </c>
      <c r="B42" s="3" t="s">
        <v>54</v>
      </c>
      <c r="D42" s="7"/>
      <c r="E42" s="8"/>
      <c r="F42" s="8"/>
      <c r="G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ht="13.8" spans="1:20">
      <c r="A43" s="3" t="s">
        <v>55</v>
      </c>
      <c r="B43" s="3" t="s">
        <v>56</v>
      </c>
      <c r="D43" s="7">
        <v>0</v>
      </c>
      <c r="E43" s="8">
        <v>0</v>
      </c>
      <c r="F43" s="8">
        <v>0</v>
      </c>
      <c r="G43" s="17">
        <v>3030</v>
      </c>
      <c r="H43" s="11" t="s">
        <v>98</v>
      </c>
      <c r="I43" s="27"/>
      <c r="J43" s="27">
        <v>250</v>
      </c>
      <c r="K43" s="27"/>
      <c r="L43" s="27">
        <v>650</v>
      </c>
      <c r="M43" s="27">
        <v>615</v>
      </c>
      <c r="N43" s="27"/>
      <c r="O43" s="27"/>
      <c r="P43" s="27">
        <v>650</v>
      </c>
      <c r="Q43" s="27">
        <v>615</v>
      </c>
      <c r="R43" s="38"/>
      <c r="S43" s="27">
        <v>250</v>
      </c>
      <c r="T43" s="27"/>
    </row>
    <row r="44" spans="1:20">
      <c r="A44" s="13">
        <v>5690</v>
      </c>
      <c r="B44" s="12" t="s">
        <v>57</v>
      </c>
      <c r="D44" s="7"/>
      <c r="E44" s="8"/>
      <c r="F44" s="8"/>
      <c r="G44" s="18"/>
      <c r="H44" s="11"/>
      <c r="I44" s="18"/>
      <c r="J44" s="18"/>
      <c r="K44" s="18"/>
      <c r="L44" s="18"/>
      <c r="M44" s="18"/>
      <c r="N44" s="18"/>
      <c r="O44" s="18"/>
      <c r="P44" s="18"/>
      <c r="Q44" s="29"/>
      <c r="R44" s="18"/>
      <c r="S44" s="18"/>
      <c r="T44" s="18"/>
    </row>
    <row r="45" spans="1:20">
      <c r="A45" s="3" t="s">
        <v>58</v>
      </c>
      <c r="B45" s="3" t="s">
        <v>59</v>
      </c>
      <c r="D45" s="7"/>
      <c r="E45" s="8"/>
      <c r="F45" s="8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>
      <c r="A46" s="12" t="s">
        <v>60</v>
      </c>
      <c r="B46" s="12" t="s">
        <v>61</v>
      </c>
      <c r="D46" s="7"/>
      <c r="E46" s="8"/>
      <c r="F46" s="8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>
      <c r="A47" s="3" t="s">
        <v>62</v>
      </c>
      <c r="B47" s="3" t="s">
        <v>63</v>
      </c>
      <c r="D47" s="7">
        <v>135</v>
      </c>
      <c r="E47" s="8">
        <v>40</v>
      </c>
      <c r="F47" s="8">
        <v>180</v>
      </c>
      <c r="G47" s="17">
        <v>100</v>
      </c>
      <c r="H47" s="1" t="s">
        <v>108</v>
      </c>
      <c r="I47" s="9">
        <v>8</v>
      </c>
      <c r="J47" s="9">
        <v>8</v>
      </c>
      <c r="K47" s="9">
        <v>9</v>
      </c>
      <c r="L47" s="9">
        <v>8</v>
      </c>
      <c r="M47" s="9">
        <v>8</v>
      </c>
      <c r="N47" s="9">
        <v>9</v>
      </c>
      <c r="O47" s="9">
        <v>8</v>
      </c>
      <c r="P47" s="9">
        <v>8</v>
      </c>
      <c r="Q47" s="9">
        <v>9</v>
      </c>
      <c r="R47" s="9">
        <v>8</v>
      </c>
      <c r="S47" s="9">
        <v>8</v>
      </c>
      <c r="T47" s="9">
        <v>9</v>
      </c>
    </row>
    <row r="48" spans="1:20">
      <c r="A48" s="12" t="s">
        <v>64</v>
      </c>
      <c r="B48" s="12" t="s">
        <v>65</v>
      </c>
      <c r="D48" s="7"/>
      <c r="E48" s="8"/>
      <c r="F48" s="8"/>
      <c r="G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>
      <c r="A49" s="12" t="s">
        <v>66</v>
      </c>
      <c r="B49" s="12" t="s">
        <v>67</v>
      </c>
      <c r="D49" s="7"/>
      <c r="E49" s="8"/>
      <c r="F49" s="8"/>
      <c r="G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ht="13.8" spans="1:20">
      <c r="A50" s="3" t="s">
        <v>68</v>
      </c>
      <c r="B50" s="3" t="s">
        <v>69</v>
      </c>
      <c r="D50" s="7">
        <v>0</v>
      </c>
      <c r="E50" s="8">
        <v>0</v>
      </c>
      <c r="F50" s="8">
        <v>1050</v>
      </c>
      <c r="G50" s="17">
        <v>700</v>
      </c>
      <c r="H50" s="11" t="s">
        <v>98</v>
      </c>
      <c r="I50" s="10"/>
      <c r="J50" s="10"/>
      <c r="K50" s="26"/>
      <c r="L50" s="26">
        <v>200</v>
      </c>
      <c r="M50" s="26"/>
      <c r="N50" s="26">
        <v>200</v>
      </c>
      <c r="O50" s="26"/>
      <c r="P50" s="26"/>
      <c r="Q50" s="26">
        <v>100</v>
      </c>
      <c r="R50" s="26">
        <v>200</v>
      </c>
      <c r="S50" s="26"/>
      <c r="T50" s="10"/>
    </row>
    <row r="51" spans="1:20">
      <c r="A51" s="3" t="s">
        <v>70</v>
      </c>
      <c r="B51" s="3" t="s">
        <v>71</v>
      </c>
      <c r="D51" s="7">
        <v>0</v>
      </c>
      <c r="E51" s="8">
        <v>10</v>
      </c>
      <c r="F51" s="8">
        <v>0</v>
      </c>
      <c r="G51" s="17">
        <v>50</v>
      </c>
      <c r="H51" s="1" t="s">
        <v>108</v>
      </c>
      <c r="I51" s="28">
        <v>3</v>
      </c>
      <c r="J51" s="28">
        <v>4</v>
      </c>
      <c r="K51" s="28">
        <v>5</v>
      </c>
      <c r="L51" s="31">
        <v>3</v>
      </c>
      <c r="M51" s="28">
        <v>4</v>
      </c>
      <c r="N51" s="28">
        <v>5</v>
      </c>
      <c r="O51" s="28">
        <v>4</v>
      </c>
      <c r="P51" s="28">
        <v>4</v>
      </c>
      <c r="Q51" s="28">
        <v>5</v>
      </c>
      <c r="R51" s="28">
        <v>4</v>
      </c>
      <c r="S51" s="28">
        <v>4</v>
      </c>
      <c r="T51" s="28">
        <v>5</v>
      </c>
    </row>
    <row r="52" spans="1:20">
      <c r="A52" s="12" t="s">
        <v>72</v>
      </c>
      <c r="B52" s="12" t="s">
        <v>73</v>
      </c>
      <c r="D52" s="7"/>
      <c r="E52" s="8"/>
      <c r="F52" s="8"/>
      <c r="G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>
      <c r="A53" s="3"/>
      <c r="B53" s="3"/>
      <c r="D53" s="7"/>
      <c r="E53" s="7"/>
      <c r="F53" s="8"/>
      <c r="G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3:20">
      <c r="C54" s="14" t="s">
        <v>74</v>
      </c>
      <c r="D54" s="15">
        <f>SUM(D28:D53)</f>
        <v>23009</v>
      </c>
      <c r="E54" s="15">
        <f>SUM(E28:E53)</f>
        <v>80276.05</v>
      </c>
      <c r="F54" s="15">
        <f>SUM(F28:F53)</f>
        <v>63658</v>
      </c>
      <c r="G54" s="16">
        <f>SUM(G28:G53)</f>
        <v>61674</v>
      </c>
      <c r="I54" s="20">
        <f t="shared" ref="I54:T54" si="2">SUM(I28:I53)</f>
        <v>1006.75</v>
      </c>
      <c r="J54" s="20">
        <f t="shared" si="2"/>
        <v>1652.75</v>
      </c>
      <c r="K54" s="20">
        <f t="shared" si="2"/>
        <v>8064.75</v>
      </c>
      <c r="L54" s="20">
        <f t="shared" si="2"/>
        <v>8516.75</v>
      </c>
      <c r="M54" s="20">
        <f t="shared" si="2"/>
        <v>1622.75</v>
      </c>
      <c r="N54" s="20">
        <f t="shared" si="2"/>
        <v>17054.75</v>
      </c>
      <c r="O54" s="20">
        <f t="shared" si="2"/>
        <v>2647.75</v>
      </c>
      <c r="P54" s="20">
        <f t="shared" si="2"/>
        <v>2052.75</v>
      </c>
      <c r="Q54" s="20">
        <f t="shared" si="2"/>
        <v>8779.75</v>
      </c>
      <c r="R54" s="20">
        <f t="shared" si="2"/>
        <v>7867.75</v>
      </c>
      <c r="S54" s="20">
        <f t="shared" si="2"/>
        <v>1257.75</v>
      </c>
      <c r="T54" s="20">
        <f t="shared" si="2"/>
        <v>1149.75</v>
      </c>
    </row>
    <row r="55" spans="4:20">
      <c r="D55" s="7"/>
      <c r="E55" s="7"/>
      <c r="F55" s="7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ht="13.2" spans="2:20">
      <c r="B56" s="21" t="s">
        <v>75</v>
      </c>
      <c r="D56" s="22">
        <f t="shared" ref="D56:G56" si="3">+D24-D54</f>
        <v>-23009</v>
      </c>
      <c r="E56" s="22">
        <f t="shared" si="3"/>
        <v>-7176.05</v>
      </c>
      <c r="F56" s="22">
        <f t="shared" si="3"/>
        <v>-10386</v>
      </c>
      <c r="G56" s="22">
        <f t="shared" si="3"/>
        <v>-10816</v>
      </c>
      <c r="I56" s="33">
        <f t="shared" ref="I56:T56" si="4">+I24-I54</f>
        <v>-1006.75</v>
      </c>
      <c r="J56" s="33">
        <f t="shared" si="4"/>
        <v>-1652.75</v>
      </c>
      <c r="K56" s="33">
        <f t="shared" si="4"/>
        <v>-382.75</v>
      </c>
      <c r="L56" s="33">
        <f t="shared" si="4"/>
        <v>-734.75</v>
      </c>
      <c r="M56" s="33">
        <f t="shared" si="4"/>
        <v>-1322.75</v>
      </c>
      <c r="N56" s="33">
        <f t="shared" si="4"/>
        <v>1375.25</v>
      </c>
      <c r="O56" s="33">
        <f t="shared" si="4"/>
        <v>-2247.75</v>
      </c>
      <c r="P56" s="33">
        <f t="shared" si="4"/>
        <v>-2052.75</v>
      </c>
      <c r="Q56" s="33">
        <f t="shared" si="4"/>
        <v>-8479.75</v>
      </c>
      <c r="R56" s="33">
        <f t="shared" si="4"/>
        <v>314.25</v>
      </c>
      <c r="S56" s="33">
        <f t="shared" si="4"/>
        <v>6524.25</v>
      </c>
      <c r="T56" s="33">
        <f t="shared" si="4"/>
        <v>-1149.75</v>
      </c>
    </row>
    <row r="57" spans="4:6">
      <c r="D57" s="7"/>
      <c r="E57" s="7"/>
      <c r="F57" s="8"/>
    </row>
    <row r="58" spans="4:6">
      <c r="D58" s="7"/>
      <c r="E58" s="7"/>
      <c r="F58" s="7"/>
    </row>
    <row r="59" spans="4:6">
      <c r="D59" s="7"/>
      <c r="E59" s="7"/>
      <c r="F59" s="8"/>
    </row>
    <row r="60" spans="4:6">
      <c r="D60" s="7"/>
      <c r="E60" s="7"/>
      <c r="F60" s="8"/>
    </row>
    <row r="61" spans="4:6">
      <c r="D61" s="7"/>
      <c r="E61" s="7"/>
      <c r="F61" s="8"/>
    </row>
    <row r="62" spans="4:6">
      <c r="D62" s="7"/>
      <c r="E62" s="7"/>
      <c r="F62" s="8"/>
    </row>
    <row r="63" spans="4:6">
      <c r="D63" s="15"/>
      <c r="E63" s="15"/>
      <c r="F63" s="15"/>
    </row>
  </sheetData>
  <mergeCells count="3">
    <mergeCell ref="D5:E5"/>
    <mergeCell ref="I5:T5"/>
    <mergeCell ref="D6:E6"/>
  </mergeCells>
  <pageMargins left="0.25" right="0.25" top="0.75" bottom="0.75" header="0.3" footer="0.3"/>
  <pageSetup paperSize="1" orientation="portrait"/>
  <headerFooter/>
  <ignoredErrors>
    <ignoredError sqref="G30" unlockedFormula="1"/>
    <ignoredError sqref="A19:A21 A17:A18 A37:A43 A27:A30 A9:A16 A32:A36 A45:A52 A23:A2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ALL Funds</vt:lpstr>
      <vt:lpstr>#01 GLR</vt:lpstr>
      <vt:lpstr>#10 OLED</vt:lpstr>
      <vt:lpstr>#20 CONF</vt:lpstr>
      <vt:lpstr>#30 RR</vt:lpstr>
      <vt:lpstr>#40 YMT</vt:lpstr>
      <vt:lpstr>#50 YEVT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GLURCBookkeeper</dc:creator>
  <cp:lastModifiedBy>glurc</cp:lastModifiedBy>
  <dcterms:created xsi:type="dcterms:W3CDTF">2018-03-19T19:17:00Z</dcterms:created>
  <cp:lastPrinted>2021-08-18T16:52:00Z</cp:lastPrinted>
  <dcterms:modified xsi:type="dcterms:W3CDTF">2022-08-30T17:08:56Z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0821229F23204E028E62626B8B2B5146</vt:lpwstr>
  </property>
  <property fmtid="{D5CDD505-2E9C-101B-9397-08002B2CF9AE}" pid="3" name="KSOProductBuildVer">
    <vt:lpwstr>1033-11.2.0.11210</vt:lpwstr>
  </property>
</Properties>
</file>